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rivate-my.sharepoint.com/personal/yumi_lim_clarivate_com/Documents/Desktop/2022 타이틀리스트/타이틀리스트/2023 KERIS 무상DB/"/>
    </mc:Choice>
  </mc:AlternateContent>
  <xr:revisionPtr revIDLastSave="4" documentId="13_ncr:40009_{B900AD5F-0EB5-41F7-A8FB-7A8FC4253E43}" xr6:coauthVersionLast="47" xr6:coauthVersionMax="47" xr10:uidLastSave="{CD4EB70A-88C1-42F9-8C34-9D1EA905EB56}"/>
  <bookViews>
    <workbookView xWindow="-110" yWindow="-110" windowWidth="19420" windowHeight="10420" xr2:uid="{00000000-000D-0000-FFFF-FFFF00000000}"/>
  </bookViews>
  <sheets>
    <sheet name="20230103_1,014권_keris" sheetId="1" r:id="rId1"/>
  </sheets>
  <definedNames>
    <definedName name="_xlnm._FilterDatabase" localSheetId="0" hidden="1">'20230103_1,014권_keris'!$A$1:$Q$1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</calcChain>
</file>

<file path=xl/sharedStrings.xml><?xml version="1.0" encoding="utf-8"?>
<sst xmlns="http://schemas.openxmlformats.org/spreadsheetml/2006/main" count="10750" uniqueCount="5631">
  <si>
    <t>Document ID</t>
  </si>
  <si>
    <t>Title</t>
  </si>
  <si>
    <t>PrintIsbn</t>
  </si>
  <si>
    <t>EIsbn</t>
  </si>
  <si>
    <t>Publisher</t>
  </si>
  <si>
    <t>Imprint</t>
  </si>
  <si>
    <t>PublicationDate</t>
  </si>
  <si>
    <t>Document Type</t>
  </si>
  <si>
    <t>Title Edition</t>
  </si>
  <si>
    <t>Series Title</t>
  </si>
  <si>
    <t>Authors</t>
  </si>
  <si>
    <t>Subject</t>
  </si>
  <si>
    <t>Lcc</t>
  </si>
  <si>
    <t>Dewey</t>
  </si>
  <si>
    <t>Lcsh</t>
  </si>
  <si>
    <t>Language</t>
  </si>
  <si>
    <t>Full Record URL</t>
  </si>
  <si>
    <t>The Spenser Encyclopedia</t>
  </si>
  <si>
    <t>Taylor &amp; Francis Group</t>
  </si>
  <si>
    <t>Routledge</t>
  </si>
  <si>
    <t>Book</t>
  </si>
  <si>
    <t>Hamilton, A. C.</t>
  </si>
  <si>
    <t>Literature</t>
  </si>
  <si>
    <t>PR2362.S7 -- S74 1990eb</t>
  </si>
  <si>
    <t>Spenser, Edmund, -- 1552?-1599 -- Dictionaries. ; English literature.</t>
  </si>
  <si>
    <t>English</t>
  </si>
  <si>
    <t>The Shakespeare Name Dictionary</t>
  </si>
  <si>
    <t>Davis, J. Madison;Frankforter, Daniel A.</t>
  </si>
  <si>
    <t>PR2892 -- .D33 2004eb</t>
  </si>
  <si>
    <t>822.3/3</t>
  </si>
  <si>
    <t>Shakespeare, William, -- 1564-1616 -- Dictionaries. ; Names, Geographical, in literature -- Dictionaries. ; Names, Personal, in literature -- Dictionaries.</t>
  </si>
  <si>
    <t>The Blackwell Handbook of Global Management : A Guide to Managing Complexity</t>
  </si>
  <si>
    <t>John Wiley &amp; Sons, Incorporated</t>
  </si>
  <si>
    <t>Wiley-Blackwell</t>
  </si>
  <si>
    <t>Blackwell Handbooks in Management Ser.</t>
  </si>
  <si>
    <t>Lane, Henry W.;Maznevski, Martha L.;Mendenhall, Mark E.;McNett, Jeanne;Maznevski, Martha</t>
  </si>
  <si>
    <t>Business/Management</t>
  </si>
  <si>
    <t>HD62.4.B583x 2004</t>
  </si>
  <si>
    <t>658/.049</t>
  </si>
  <si>
    <t>International business enterprises -- Management. ; Business.</t>
  </si>
  <si>
    <t>Musical Performance : A Guide to Understanding</t>
  </si>
  <si>
    <t>Cambridge University Press</t>
  </si>
  <si>
    <t>Rink, John</t>
  </si>
  <si>
    <t>Fine Arts</t>
  </si>
  <si>
    <t>ML457 .M863 2002</t>
  </si>
  <si>
    <t>781.4/3</t>
  </si>
  <si>
    <t>Music--Performance</t>
  </si>
  <si>
    <t>Urban Insects and Arachnids : A Handbook of Urban Entomology</t>
  </si>
  <si>
    <t>Robinson, William H.</t>
  </si>
  <si>
    <t>Science; Science: Zoology</t>
  </si>
  <si>
    <t>QL472.7 .R632 2005</t>
  </si>
  <si>
    <t>Urban entomology--Handbooks, manuals, etc</t>
  </si>
  <si>
    <t>The Blackwell Handbook of Personnel Selection</t>
  </si>
  <si>
    <t>Evers, Arne;Anderson, Neil;Smit-Voskuijl, Olga;Smit-Voskuijl, Olga;Anderson, Neil;Smit-Voskuijl, Olga</t>
  </si>
  <si>
    <t>HF5549.5.S38B55 2005</t>
  </si>
  <si>
    <t>Employee selection. ; Employee screening. ; Employment tests. ; Employees -- Recruiting.</t>
  </si>
  <si>
    <t>Archaeology in Practice : A Student Guide to Archaeological Analyses</t>
  </si>
  <si>
    <t>Balme, Jane;Paterson, Alistair</t>
  </si>
  <si>
    <t>History</t>
  </si>
  <si>
    <t>CC75.A657 2006</t>
  </si>
  <si>
    <t>Archaeology -- Methodology. ; Archaeology -- Laboratory manuals.</t>
  </si>
  <si>
    <t>The Cambridge Handbook of Age and Ageing</t>
  </si>
  <si>
    <t>Cambridge Handbooks in Psychology Ser.</t>
  </si>
  <si>
    <t>Johnson, Malcolm L.;Bengtson, Vern L.;Coleman, Peter G.;Kirkwood, Thomas B. L.</t>
  </si>
  <si>
    <t>Social Science</t>
  </si>
  <si>
    <t>HQ1061 -- .C315 2005eb</t>
  </si>
  <si>
    <t>Penal colonies -- Australia -- History. ; Prisoners -- Australia -- History. ; Frontier and pioneer life -- Australia. ; Governors -- Australia -- New South Wales -- History. ; Australia -- History -- To 1788. ; Australia -- History -- 1788-1900.</t>
  </si>
  <si>
    <t>The Cambridge Mozart Encyclopedia</t>
  </si>
  <si>
    <t>Eisen, Cliff;Keefe, Simon P.</t>
  </si>
  <si>
    <t>ML410.M9 C257 2006</t>
  </si>
  <si>
    <t>780/.92 B</t>
  </si>
  <si>
    <t>Mozart, Wolfgang Amadeus,--1756-1791--Encyclopedias</t>
  </si>
  <si>
    <t>The International Handbook of Creativity</t>
  </si>
  <si>
    <t>Kaufman, James C.;Sternberg, Robert J.</t>
  </si>
  <si>
    <t>Social Science; Psychology</t>
  </si>
  <si>
    <t>GN453 .I58 2005</t>
  </si>
  <si>
    <t>Creative ability--Cross-cultural studies</t>
  </si>
  <si>
    <t>A Walk Through the Heavens : A Guide to Stars and Constellations and Their Legends</t>
  </si>
  <si>
    <t>Heifetz, Milton D.;Tirion, Wil</t>
  </si>
  <si>
    <t>Science: Astronomy; Science</t>
  </si>
  <si>
    <t>QB63 .H374 2004</t>
  </si>
  <si>
    <t>Stars--Observers' manuals</t>
  </si>
  <si>
    <t>Encyclopedia of Contemporary Japanese Culture</t>
  </si>
  <si>
    <t>Encyclopedias of Contemporary Culture</t>
  </si>
  <si>
    <t>Buckley, Sandra</t>
  </si>
  <si>
    <t>DS822.5 -- .E516 2009eb</t>
  </si>
  <si>
    <t>952.04/03</t>
  </si>
  <si>
    <t>Popular culture -- Japan -- Encyclopedias. ; Japan -- Civilization -- 1945- -- Encyclopedias.</t>
  </si>
  <si>
    <t>A Handbook of Wisdom : Psychological Perspectives</t>
  </si>
  <si>
    <t>Sternberg, Robert;Jordan, Jennifer</t>
  </si>
  <si>
    <t>Philosophy; Psychology</t>
  </si>
  <si>
    <t>BJ1595 .H29 2005</t>
  </si>
  <si>
    <t>150/.1</t>
  </si>
  <si>
    <t>Wisdom</t>
  </si>
  <si>
    <t>Dictionary of Applied Math for Engineers and Scientists</t>
  </si>
  <si>
    <t>CRC Press</t>
  </si>
  <si>
    <t>Previato, Emma</t>
  </si>
  <si>
    <t>Mathematics</t>
  </si>
  <si>
    <t>QA5.D49835 2003</t>
  </si>
  <si>
    <t>510/.3</t>
  </si>
  <si>
    <t>Elsevier's Dictionary of Art History Terms : French/English-English/French</t>
  </si>
  <si>
    <t>Emerald Publishing Limited</t>
  </si>
  <si>
    <t>Elsevier Science Ltd</t>
  </si>
  <si>
    <t xml:space="preserve">Michaux, J. P.;Michaux, J P </t>
  </si>
  <si>
    <t>N33.E49 2005</t>
  </si>
  <si>
    <t>Art - French</t>
  </si>
  <si>
    <t>The Cambridge Dictionary of Statistics</t>
  </si>
  <si>
    <t>Everitt, B. S.</t>
  </si>
  <si>
    <t>QA276.14 -- .E84 2006eb</t>
  </si>
  <si>
    <t>Mathematical statistics -- Dictionaries. ; Statistics -- Dictionaries.</t>
  </si>
  <si>
    <t>A Companion to the Hellenistic World</t>
  </si>
  <si>
    <t>Blackwell Companions to the Ancient World Ser.</t>
  </si>
  <si>
    <t>Erskine, Andrew</t>
  </si>
  <si>
    <t>DE86.C65 2005</t>
  </si>
  <si>
    <t>Hellenism. ; Mediterranean Region -- History -- To 476. ; Greece -- History -- Macedonian Hegemony, 323-281 B.C. ; Greece -- History -- 281-146 B.C.</t>
  </si>
  <si>
    <t>A Brief History of Spirituality</t>
  </si>
  <si>
    <t>Wiley Blackwell Brief Histories of Religion Ser.</t>
  </si>
  <si>
    <t>Sheldrake, Philip</t>
  </si>
  <si>
    <t>Religion</t>
  </si>
  <si>
    <t>BV4501.3.S532 2007</t>
  </si>
  <si>
    <t>Spirituality -- History. ; Spiritual life.</t>
  </si>
  <si>
    <t>A Companion to Contemporary Art Since 1945</t>
  </si>
  <si>
    <t>Blackwell Companions to Art History Ser.</t>
  </si>
  <si>
    <t>Jones, Amelia;Arnold, Dana</t>
  </si>
  <si>
    <t>N6490.C65615 2006</t>
  </si>
  <si>
    <t>709.04/5</t>
  </si>
  <si>
    <t>Art, Modern -- 20th century -- History. ; Art, Modern -- 21st century -- History.</t>
  </si>
  <si>
    <t>An Introduction to the Standard Model of Particle Physics</t>
  </si>
  <si>
    <t>Cottingham, W. N.;Greenwood, D. A.</t>
  </si>
  <si>
    <t>Science: Physics; Science</t>
  </si>
  <si>
    <t>QC794.6.S75 -- C68 2007eb</t>
  </si>
  <si>
    <t>539.7/2</t>
  </si>
  <si>
    <t>Standard model (Nuclear physics)</t>
  </si>
  <si>
    <t>The Cambridge Introduction to Emily Dickinson</t>
  </si>
  <si>
    <t>Cambridge Introductions to Literature Ser.</t>
  </si>
  <si>
    <t>Martin, Wendy</t>
  </si>
  <si>
    <t>PS1541.Z5 M37 2007</t>
  </si>
  <si>
    <t>811/.4</t>
  </si>
  <si>
    <t>Dickinson, Emily,--1830-1886--Criticism and interpretation</t>
  </si>
  <si>
    <t>The Cambridge Introduction to Ezra Pound</t>
  </si>
  <si>
    <t>Nadel, Ira B.</t>
  </si>
  <si>
    <t>PS3531.O82 Z7575 2007</t>
  </si>
  <si>
    <t>811/.52</t>
  </si>
  <si>
    <t>Pound, Ezra,--1885-1972--Criticism and interpretation</t>
  </si>
  <si>
    <t>The Cambridge Introduction to F. Scott Fitzgerald</t>
  </si>
  <si>
    <t>Curnutt, Kirk</t>
  </si>
  <si>
    <t>PS3511.I9 Z584 2007</t>
  </si>
  <si>
    <t>813/.52</t>
  </si>
  <si>
    <t>Fitzgerald, F. Scott--(Francis Scott),--1896-1940--Criticism and interpretation</t>
  </si>
  <si>
    <t>The Cambridge Introduction to Harriet Beecher Stowe</t>
  </si>
  <si>
    <t>Robbins, Sarah</t>
  </si>
  <si>
    <t>PS2957 .R63 2007</t>
  </si>
  <si>
    <t>813/.3</t>
  </si>
  <si>
    <t>Stowe, Harriet Beecher,--1811-1896--Criticism and interpretation</t>
  </si>
  <si>
    <t>The Cambridge Introduction to Herman Melville</t>
  </si>
  <si>
    <t>Hayes, Kevin J.</t>
  </si>
  <si>
    <t>PS2386 .H35 2007</t>
  </si>
  <si>
    <t>813/.3 B</t>
  </si>
  <si>
    <t>Melville, Herman,--1819-1891--Handbooks, manuals, etc</t>
  </si>
  <si>
    <t>The Cambridge Introduction to Mark Twain</t>
  </si>
  <si>
    <t>Messent, Peter</t>
  </si>
  <si>
    <t>PS1331 .M47 2007</t>
  </si>
  <si>
    <t>Twain, Mark,--1835-1910--Handbooks, manuals, etc</t>
  </si>
  <si>
    <t>The Cambridge Introduction to Nathaniel Hawthorne</t>
  </si>
  <si>
    <t>Person, Leland S., Jr.;Person, Leland S.</t>
  </si>
  <si>
    <t>PS1888 .P47 2007</t>
  </si>
  <si>
    <t>Hawthorne, Nathaniel,--1804-1864--Criticism and interpretation</t>
  </si>
  <si>
    <t>The Cambridge Introduction to Shakespeare</t>
  </si>
  <si>
    <t>Smith, Emma</t>
  </si>
  <si>
    <t>PR2894 .S57 2007</t>
  </si>
  <si>
    <t>Shakespeare, William,--1564-1616--Handbooks, manuals, etc</t>
  </si>
  <si>
    <t>The Cambridge Introduction to Shakespeare's Tragedies</t>
  </si>
  <si>
    <t>Dillon, Janette</t>
  </si>
  <si>
    <t>PR2983 .D55 2007</t>
  </si>
  <si>
    <t>Shakespeare, William,--1564-1616--Tragedies</t>
  </si>
  <si>
    <t>The Cambridge Introduction to Walt Whitman</t>
  </si>
  <si>
    <t>Killingsworth, M. Jimmie</t>
  </si>
  <si>
    <t>PS3231 .K55 2007</t>
  </si>
  <si>
    <t>811/.3</t>
  </si>
  <si>
    <t>Whitman, Walt,--1819-1892--Handbooks, manuals, etc</t>
  </si>
  <si>
    <t>An Illustrated Brief History of Western Philosophy</t>
  </si>
  <si>
    <t>Kenny, Anthony</t>
  </si>
  <si>
    <t>Philosophy</t>
  </si>
  <si>
    <t>B72.K44 2006</t>
  </si>
  <si>
    <t>Philosophy -- History.</t>
  </si>
  <si>
    <t>A Companion to Ancient Philosophy</t>
  </si>
  <si>
    <t>Blackwell Companions to Philosophy Ser.</t>
  </si>
  <si>
    <t>Gill, Mary Louise;Pellegrin, Pierre</t>
  </si>
  <si>
    <t>B111.C66 2006</t>
  </si>
  <si>
    <t>Philosophy, Ancient.</t>
  </si>
  <si>
    <t>A Handbook of Leisure Studies</t>
  </si>
  <si>
    <t>Palgrave Macmillan UK</t>
  </si>
  <si>
    <t>Palgrave Macmillan</t>
  </si>
  <si>
    <t>Rojek, C.;Shaw, S.;Veal, A.</t>
  </si>
  <si>
    <t>Economics; Sport &amp;amp; Recreation; Business/Management</t>
  </si>
  <si>
    <t>GV706.5</t>
  </si>
  <si>
    <t>Leisure -- Research.</t>
  </si>
  <si>
    <t>Handbook of Liaison Psychiatry</t>
  </si>
  <si>
    <t>Lloyd, Geoffrey;Guthrie, Elspeth</t>
  </si>
  <si>
    <t>Psychology; Medicine</t>
  </si>
  <si>
    <t>RC455.2.C65 H36 2007</t>
  </si>
  <si>
    <t>Consultation-liaison psychiatry--Handbooks, manuals, etc</t>
  </si>
  <si>
    <t>Cambridge Handbook of Psychology, Health and Medicine</t>
  </si>
  <si>
    <t xml:space="preserve">Ayers, Susan;Baum, Andrew;McManus, Chris;Newman, Stanton ;Wallston, Kenneth;Weinman, John ;West, Robert </t>
  </si>
  <si>
    <t>Medicine</t>
  </si>
  <si>
    <t>R726.5 .C354 2007</t>
  </si>
  <si>
    <t>616.001/9</t>
  </si>
  <si>
    <t>Medicine and psychology--Handbooks, manuals, etc</t>
  </si>
  <si>
    <t>The Cambridge Handbook of Consciousness</t>
  </si>
  <si>
    <t>Zelazo, Philip David;Moscovitch, Morris;Thompson, Evan</t>
  </si>
  <si>
    <t>B808.9 .C36 2007</t>
  </si>
  <si>
    <t>Consciousness</t>
  </si>
  <si>
    <t>Observing the Moon : The Modern Astronomer's Guide</t>
  </si>
  <si>
    <t>North, Gerald</t>
  </si>
  <si>
    <t>Science; Science: Astronomy</t>
  </si>
  <si>
    <t>QB581 -- .N67 2007eb</t>
  </si>
  <si>
    <t>Moon</t>
  </si>
  <si>
    <t>A Companion to Contemporary Political Philosophy</t>
  </si>
  <si>
    <t>Goodin, Robert E.;Pettit, Philip;Pogge, Thomas W.;Pogge, Thomas W.</t>
  </si>
  <si>
    <t>Political Science</t>
  </si>
  <si>
    <t>JA71.C565 2007</t>
  </si>
  <si>
    <t>Political science -- Philosophy.</t>
  </si>
  <si>
    <t>A Companion to Latina/o Studies</t>
  </si>
  <si>
    <t>Blackwell Companions in Cultural Studies</t>
  </si>
  <si>
    <t>Flores, Juan;Rosaldo, Renato</t>
  </si>
  <si>
    <t>History; Social Science</t>
  </si>
  <si>
    <t>E184.S75C648 2007</t>
  </si>
  <si>
    <t>Hispanic Americans. ; United States -- Race relations -- Study and teaching.</t>
  </si>
  <si>
    <t>The Cambridge Introduction to Samuel Beckett</t>
  </si>
  <si>
    <t>McDonald, Ronan</t>
  </si>
  <si>
    <t>PR6003.E282 Z77574 2007</t>
  </si>
  <si>
    <t>Beckett, Samuel,--1906-1989--Criticism and interpretation</t>
  </si>
  <si>
    <t>Pocket Guide for Cutaneous Medicine and Surgery</t>
  </si>
  <si>
    <t>Lane, Joshua E.;Lesher, Jack L.;Davis, Loretta S.</t>
  </si>
  <si>
    <t>RL74 -- .L36 2006eb</t>
  </si>
  <si>
    <t>Skin Diseases - surgery</t>
  </si>
  <si>
    <t>Manual of Emergency and Critical Care Ultrasound</t>
  </si>
  <si>
    <t>Noble, Vicki;Nelson, Bret;Sutingco, Nicholas</t>
  </si>
  <si>
    <t>RC78.7.U4 -- N63 2007eb</t>
  </si>
  <si>
    <t>Diagnostic ultrasonic imaging -- Handbooks, manuals, etc. ; Ultrasonic imaging -- Handbooks, manuals, etc. ; Emergency medicine -- Diagnosis -- Handbooks, manuals, etc.</t>
  </si>
  <si>
    <t>International Focus Group Research : A Handbook for the Health and Social Sciences</t>
  </si>
  <si>
    <t>Hennink, Monique M.</t>
  </si>
  <si>
    <t>H62 -- .H46 2007eb</t>
  </si>
  <si>
    <t>Focus groups</t>
  </si>
  <si>
    <t>The Cambridge Introduction to Francophone Literature</t>
  </si>
  <si>
    <t>Corcoran, Patrick</t>
  </si>
  <si>
    <t>PQ3809 -- .C67 2007eb</t>
  </si>
  <si>
    <t>French literature - French-speaking countries - History and criticism</t>
  </si>
  <si>
    <t>Learning Medicine : How to Become and Remain a Good Doctor</t>
  </si>
  <si>
    <t xml:space="preserve">Richards, Peter;Stockill, Simon;Foster, Rosalind;Ingall, Elizabeth </t>
  </si>
  <si>
    <t>R690 -- .L43 2008eb</t>
  </si>
  <si>
    <t>Medicine -- Vocational guidance -- Great Britain. ; Medical education -- Great Britain.</t>
  </si>
  <si>
    <t>The a-Z of Social Research : A Dictionary of Key Social Science Research Concepts</t>
  </si>
  <si>
    <t>SAGE Publications, Limited</t>
  </si>
  <si>
    <t>Miller, Robert Lee;Brewer, John D.</t>
  </si>
  <si>
    <t>H62.A5124 2003</t>
  </si>
  <si>
    <t>300/.72</t>
  </si>
  <si>
    <t>Social sciences - Research</t>
  </si>
  <si>
    <t>The SAGE Dictionary of Sociology</t>
  </si>
  <si>
    <t>Bruce, Steve;Yearley, Steven</t>
  </si>
  <si>
    <t>HM425.B78 2006</t>
  </si>
  <si>
    <t>Sociology</t>
  </si>
  <si>
    <t>Teledermatology : A User's Guide</t>
  </si>
  <si>
    <t>Pak, Hon S.;Edison, Karen E.;Whited, John D.</t>
  </si>
  <si>
    <t>RL72 -- .T43 2008eb</t>
  </si>
  <si>
    <t>Dermatology - organization &amp; administration</t>
  </si>
  <si>
    <t>Operating Department Practice A-Z</t>
  </si>
  <si>
    <t>Williams, Tom;Smith, Brian</t>
  </si>
  <si>
    <t>RD16 -- .O626 2008eb</t>
  </si>
  <si>
    <t>Surgical Procedures, Operative - English</t>
  </si>
  <si>
    <t>The Cambridge Introduction to Modern Irish Poetry, 1800-2000</t>
  </si>
  <si>
    <t>Quinn, Justin</t>
  </si>
  <si>
    <t>PR8769 -- .Q56 2008eb</t>
  </si>
  <si>
    <t>Irish poetry - 19th century - History and criticism</t>
  </si>
  <si>
    <t>The Cambridge Introduction to George Eliot</t>
  </si>
  <si>
    <t>Henry, Nancy</t>
  </si>
  <si>
    <t>PR4688 -- .H46 2008eb</t>
  </si>
  <si>
    <t>Eliot, George</t>
  </si>
  <si>
    <t>The Cambridge Introduction to William Faulkner</t>
  </si>
  <si>
    <t>Towner, Theresa M.</t>
  </si>
  <si>
    <t>PS3511.A86 -- Z9778 2008eb</t>
  </si>
  <si>
    <t>Faulkner, William, -- 1897-1962 -- Criticism and interpretation. ; American literature.</t>
  </si>
  <si>
    <t>The Cambridge Introduction to Shakespeare's Comedies</t>
  </si>
  <si>
    <t>Gay, Penny</t>
  </si>
  <si>
    <t>PR2981 -- .G39 2008eb</t>
  </si>
  <si>
    <t>English drama (Comedy) - History and criticism</t>
  </si>
  <si>
    <t>An Introduction to Genetic Engineering</t>
  </si>
  <si>
    <t>Nicholl, Desmond S. T.</t>
  </si>
  <si>
    <t>Science: Biology/Natural History; Engineering; Science; Engineering: Chemical</t>
  </si>
  <si>
    <t>QH442 -- .N53 2008eb</t>
  </si>
  <si>
    <t>Photography -- Digital techniques. ; Image processing -- Digital techniques.</t>
  </si>
  <si>
    <t>A-Z of Musculoskeletal and Trauma Radiology</t>
  </si>
  <si>
    <t>Murray, James R. D.;Holmes, Erskine J.;Misra, Rakesh R.</t>
  </si>
  <si>
    <t>RC78 -- .M87 2008eb</t>
  </si>
  <si>
    <t>Diagnosis, Radioscopic. ; Wounds and injuries. ; Wounds and injuries -- Diagnosis. ; Musculoskeletal system -- Radiography. ; Musculoskeletal system -- Wounds and injuries.</t>
  </si>
  <si>
    <t>Introduction to Quantum Theory</t>
  </si>
  <si>
    <t>Paul, Harry</t>
  </si>
  <si>
    <t>Science: Physics; Science; Science: Biology/Natural History</t>
  </si>
  <si>
    <t>QC174.12 -- .P38125 2008eb</t>
  </si>
  <si>
    <t>Microscopy</t>
  </si>
  <si>
    <t>A Companion to the American Revolution</t>
  </si>
  <si>
    <t>Wiley Blackwell Companions to American History Ser.</t>
  </si>
  <si>
    <t>Greene, Jack P.;Pole, J. R.</t>
  </si>
  <si>
    <t>E208.C67 2000</t>
  </si>
  <si>
    <t>United States -- History -- Revolution, 1775-1783.</t>
  </si>
  <si>
    <t>The Cambridge Introduction to Russian Literature</t>
  </si>
  <si>
    <t>Emerson, Caryl</t>
  </si>
  <si>
    <t>PG2951 -- .E47 2008eb</t>
  </si>
  <si>
    <t>Russian literature - Themes, motives</t>
  </si>
  <si>
    <t>Interpretation of Emergency Head CT : A Practical Handbook</t>
  </si>
  <si>
    <t>Holmes, Erskine J.;Forrest-Hay, Anna C.;Misra, Rakesh R.</t>
  </si>
  <si>
    <t>RC386.6.T64 -- H65 2008eb</t>
  </si>
  <si>
    <t>616.8/047572</t>
  </si>
  <si>
    <t>Head -- Diseases -- Handbooks, manuals, etc. ; Head -- Tomography -- Handbooks, manuals, etc. ; Head -- Wounds and injuries -- Handbooks, manuals, etc. ; Medical emergencies -- Handbooks, manuals, etc.</t>
  </si>
  <si>
    <t>Pediatric and Adolescent Psychopharmacology : A Practical Manual for Pediatricians</t>
  </si>
  <si>
    <t>Cambridge Clinical Guides</t>
  </si>
  <si>
    <t>Greydanus, Donald E.;Calles, Joseph L., Jr.;Patel, Dilip R.</t>
  </si>
  <si>
    <t>Medicine; Psychology</t>
  </si>
  <si>
    <t>RJ504.7 -- .P395 2008eb</t>
  </si>
  <si>
    <t>618.92/8918</t>
  </si>
  <si>
    <t>Psychopharmacology - methods</t>
  </si>
  <si>
    <t>Essential Psychiatry</t>
  </si>
  <si>
    <t xml:space="preserve">Murray, Robin M.;Kendler, Kenneth S.;McGuffin, Peter;Wessely, Simon ;Castle, David J. </t>
  </si>
  <si>
    <t>RC454 -- .E824 2008eb</t>
  </si>
  <si>
    <t>Mental Disorders</t>
  </si>
  <si>
    <t>The Cambridge Introduction to Robert Frost</t>
  </si>
  <si>
    <t>Faggen, Robert</t>
  </si>
  <si>
    <t>PS3511.R94 -- Z5595 2008eb</t>
  </si>
  <si>
    <t>Frost, Robert - Criticism and interpretation</t>
  </si>
  <si>
    <t>The Cambridge Introduction to Zora Neale Hurston</t>
  </si>
  <si>
    <t>King, Lovalerie</t>
  </si>
  <si>
    <t>PS3515.U789 -- Z763 2008eb</t>
  </si>
  <si>
    <t>Hurston, Zora Neale - Criticism and interpretation</t>
  </si>
  <si>
    <t>The Cambridge Introduction to Edgar Allan Poe</t>
  </si>
  <si>
    <t>Fisher, Benjamin F.</t>
  </si>
  <si>
    <t>PS2638 -- .F45 2008eb</t>
  </si>
  <si>
    <t>818/.309</t>
  </si>
  <si>
    <t>Poe, Edgar Allan - Criticism and interpretation</t>
  </si>
  <si>
    <t>The Cambridge Introduction to Michel Foucault</t>
  </si>
  <si>
    <t>Downing, Lisa</t>
  </si>
  <si>
    <t>B2430.F724 D69 2008</t>
  </si>
  <si>
    <t>Foucault, Michel, -- 1926-1984. ; Philosophers -- France.</t>
  </si>
  <si>
    <t>The Cambridge Introduction to Walter Benjamin</t>
  </si>
  <si>
    <t>Ferris, David S.</t>
  </si>
  <si>
    <t>PT2603.E455 -- Z648 2008eb</t>
  </si>
  <si>
    <t>Benjamin, Walter - Criticism and interpretation</t>
  </si>
  <si>
    <t>The Cambridge Introduction to Sylvia Plath</t>
  </si>
  <si>
    <t>Gill, Jo</t>
  </si>
  <si>
    <t>PS3566.L27 Z665 2008</t>
  </si>
  <si>
    <t>811/.54</t>
  </si>
  <si>
    <t>Plath, Sylvia -- Criticism and interpretation. ; Women and literature -- United States -- History -- 20th century.</t>
  </si>
  <si>
    <t>Glossary of Labour Law and Industrial Relations</t>
  </si>
  <si>
    <t>International Labour Office</t>
  </si>
  <si>
    <t>Arrigo, Gianni;Casale, Giuseppe</t>
  </si>
  <si>
    <t>Law</t>
  </si>
  <si>
    <t>K1705</t>
  </si>
  <si>
    <t>344/.01</t>
  </si>
  <si>
    <t>Economic development. ; Industrial relations. ; Labor laws and legislation. ; Labor market. ; Labor supply. ; Manpower policy.</t>
  </si>
  <si>
    <t>My First Britannica : Volumes 1 - 13</t>
  </si>
  <si>
    <t>Encyclopaedia Britannica, Incorporated</t>
  </si>
  <si>
    <t>Encyclopaedia Britannica, Inc.</t>
  </si>
  <si>
    <t>Encyclopaedia Britannnica, Inc.</t>
  </si>
  <si>
    <t>General Works/Reference; Juvenile Literature</t>
  </si>
  <si>
    <t>AG6.M94 2008</t>
  </si>
  <si>
    <t>Children's encyclopedias and dictionaries. ; Children's atlases.</t>
  </si>
  <si>
    <t>The Encyclopedia of Psychological Trauma</t>
  </si>
  <si>
    <t>Reyes, Gilbert;Elhai, Jon D.;Ford, Julian D.</t>
  </si>
  <si>
    <t>RC552.P67 -- E53 2008eb</t>
  </si>
  <si>
    <t>616.85/21003</t>
  </si>
  <si>
    <t>Post-traumatic stress disorder -- Encyclopedias. ; Stress (Psychology) -- Encyclopedias.</t>
  </si>
  <si>
    <t>The Cambridge Handbook of Metaphor and Thought</t>
  </si>
  <si>
    <t>Gibbs, Raymond W., Jr.</t>
  </si>
  <si>
    <t>Language/Linguistics; Philosophy</t>
  </si>
  <si>
    <t>P301.5.M48 -- C35 2008eb</t>
  </si>
  <si>
    <t>Psycholinguistics</t>
  </si>
  <si>
    <t>Introduction to Bronchoscopy</t>
  </si>
  <si>
    <t>Ernst, Armin</t>
  </si>
  <si>
    <t>RC734.B7 -- I62 2009eb</t>
  </si>
  <si>
    <t>616.2/3</t>
  </si>
  <si>
    <t>Bronchoscopy</t>
  </si>
  <si>
    <t>Essential Clinical Immunology</t>
  </si>
  <si>
    <t>Zabriskie, John B.;Tracey, Kevin J.</t>
  </si>
  <si>
    <t>RC582 -- .E85 2009eb</t>
  </si>
  <si>
    <t>Immune System Diseases</t>
  </si>
  <si>
    <t>A-Z of Abdominal Radiology</t>
  </si>
  <si>
    <t>Conder, Gabriel;Rendle, John;Kidd, Sarah;Misra, Rakesh R.</t>
  </si>
  <si>
    <t>RC944 -- .A145 2009eb</t>
  </si>
  <si>
    <t>Internal medicine. ; Abdomen.</t>
  </si>
  <si>
    <t>The Cambridge Introduction to the Nineteenth-Century American Novel</t>
  </si>
  <si>
    <t>Crane, Gregg</t>
  </si>
  <si>
    <t>PS377 .C73 2007</t>
  </si>
  <si>
    <t>American fiction--19th century--History and criticism</t>
  </si>
  <si>
    <t>The Names of Plants</t>
  </si>
  <si>
    <t>Gledhill, David;Gledhill, David</t>
  </si>
  <si>
    <t>Science: Botany; Science</t>
  </si>
  <si>
    <t>QK96 -- .G54 2008eb</t>
  </si>
  <si>
    <t>Iron and steel bridges -- Design and construction. ; Railroad bridges -- Design and construction.</t>
  </si>
  <si>
    <t>A Companion to the British and Irish Short Story</t>
  </si>
  <si>
    <t>Blackwell Companions to Literature and Culture Ser.</t>
  </si>
  <si>
    <t>Malcolm, David;Malcolm, Cheryl Alexander</t>
  </si>
  <si>
    <t>PR829.C64 2008</t>
  </si>
  <si>
    <t>823.0109;823/.0109</t>
  </si>
  <si>
    <t>English fiction -- Irish authors -- History and criticism. ; Short stories, English -- History and criticism. ; Short stories, English -- Themes, motives.</t>
  </si>
  <si>
    <t>Handbook of Sports Medicine and Science : Sport Psychology</t>
  </si>
  <si>
    <t>Olympic Handbook of Sports Medicine Ser.</t>
  </si>
  <si>
    <t>Brewer, Britton W.</t>
  </si>
  <si>
    <t>Sport &amp;amp; Recreation</t>
  </si>
  <si>
    <t>GV706.4.S677 2009</t>
  </si>
  <si>
    <t>Sports -- Psychological aspects -- Handbooks, manuals, etc. ; Sports medicine -- Handbooks, manuals, etc.</t>
  </si>
  <si>
    <t>The New Blackwell Companion to Social Theory</t>
  </si>
  <si>
    <t>Wiley Blackwell Companions to Sociology Ser.</t>
  </si>
  <si>
    <t xml:space="preserve">Turner, Bryan S.;Turner, Professor Bryan S , Professor;Turner, Professor Bryan S ;Turner, Bryan S </t>
  </si>
  <si>
    <t>H61.B4773 2009</t>
  </si>
  <si>
    <t>Social sciences -- Philosophy. ; Sociology -- Philosophy.</t>
  </si>
  <si>
    <t>The Cambridge Double Star Atlas</t>
  </si>
  <si>
    <t>Mullaney, James;Tirion, Wil</t>
  </si>
  <si>
    <t>QB821 -- .M829 2009eb</t>
  </si>
  <si>
    <t>Double stars -- Charts, diagrams, etc. ; Double stars -- Observers' manuals.</t>
  </si>
  <si>
    <t>The Cambridge Handbook of Literacy</t>
  </si>
  <si>
    <t>Olson, David R.;Torrance, Nancy</t>
  </si>
  <si>
    <t>Education; Social Science</t>
  </si>
  <si>
    <t>LC149 -- .C28 2008eb</t>
  </si>
  <si>
    <t>Literacy</t>
  </si>
  <si>
    <t>The Cambridge Introduction to Jacques Derrida</t>
  </si>
  <si>
    <t>Hill, Leslie</t>
  </si>
  <si>
    <t>B2430.D484 H55 2007</t>
  </si>
  <si>
    <t>Derrida, Jacques.</t>
  </si>
  <si>
    <t>The Cambridge Introduction to the Short Story in English</t>
  </si>
  <si>
    <t>Hunter, Adrian</t>
  </si>
  <si>
    <t>PR829 -- .H86 2007eb</t>
  </si>
  <si>
    <t>Short stories, English - English-speaking countries - History and criticism</t>
  </si>
  <si>
    <t>The Cambridge Introduction to Postcolonial Literatures in English</t>
  </si>
  <si>
    <t>Innes, C. L.</t>
  </si>
  <si>
    <t>PR9080 .I55 2007</t>
  </si>
  <si>
    <t>Commonwealth literature (English)--History and criticism</t>
  </si>
  <si>
    <t>Event Planning : The Ultimate Guide to Successful Meetings, Corporate Events, Fundraising Galas, Conferences, Conventions, Incentives and Other Special Events</t>
  </si>
  <si>
    <t>Allen, Judy</t>
  </si>
  <si>
    <t>General Works/Reference; Social Science</t>
  </si>
  <si>
    <t>AS6 -- .A45 2009eb</t>
  </si>
  <si>
    <t>394.2/068</t>
  </si>
  <si>
    <t>Meetings -- Planning. ; Congresses and conventions -- Planning. ; Special events -- Planning.</t>
  </si>
  <si>
    <t>The Complete Guide to Fundraising Management</t>
  </si>
  <si>
    <t>The AFP/Wiley Fund Development Ser.</t>
  </si>
  <si>
    <t>Weinstein, Stanley</t>
  </si>
  <si>
    <t>Social Science; Business/Management</t>
  </si>
  <si>
    <t>HV41.9.U5 -- W46 2009eb</t>
  </si>
  <si>
    <t>658.15/224</t>
  </si>
  <si>
    <t>Fund raising -- United States -- Management. ; Nonprofit organizations -- United States -- Finance -- Management.</t>
  </si>
  <si>
    <t>Blackwell's Concise Encyclopedia of Environmental Management</t>
  </si>
  <si>
    <t>Calow, Peter P.</t>
  </si>
  <si>
    <t>Economics; Environmental Studies</t>
  </si>
  <si>
    <t>GE300 -- .B54 1999eb</t>
  </si>
  <si>
    <t>333.7;363.7/003</t>
  </si>
  <si>
    <t>Environmental management -- Dictionaries. ; Environmental sciences -- Dictionaries.</t>
  </si>
  <si>
    <t>A Companion to Russian History</t>
  </si>
  <si>
    <t>Wiley Blackwell Companions to World History Ser.</t>
  </si>
  <si>
    <t>Gleason, Abbott</t>
  </si>
  <si>
    <t>DK40.C66 2009</t>
  </si>
  <si>
    <t>Russia -- History. ; Soviet Union -- History. ; Russia (Federation) -- History.</t>
  </si>
  <si>
    <t>A Companion to Metaphysics</t>
  </si>
  <si>
    <t>Kim, Jaekwon;Sosa, Ernest;Rosenkrantz, Gary S.</t>
  </si>
  <si>
    <t>BD111.C626 2009</t>
  </si>
  <si>
    <t>Metaphysics</t>
  </si>
  <si>
    <t>Manual of Stem Cell and Bone Marrow Transplantation</t>
  </si>
  <si>
    <t>Antin, Joseph H.;Yolin Raley, Deborah</t>
  </si>
  <si>
    <t>RD123.5 .A58 2009</t>
  </si>
  <si>
    <t>617.4/410592</t>
  </si>
  <si>
    <t>Bone marrow -- Transplantation. ; Stem cells -- Transplantation.</t>
  </si>
  <si>
    <t>The Cambridge Introduction to J. M. Coetzee</t>
  </si>
  <si>
    <t>Head, Dominic</t>
  </si>
  <si>
    <t>PR9369.3.C58 -- Z675 2009eb</t>
  </si>
  <si>
    <t>823/.914</t>
  </si>
  <si>
    <t>Coetzee, J. M. - Criticism and interpretation</t>
  </si>
  <si>
    <t>The Cambridge Introduction to Jean Rhys</t>
  </si>
  <si>
    <t>Savory, Elaine</t>
  </si>
  <si>
    <t>PR6035.H96 Z858 2009</t>
  </si>
  <si>
    <t>Rhys, Jean -- Criticism and interpretation. ; English literature.</t>
  </si>
  <si>
    <t>Hospital Surgery : Foundations in Surgical Practice</t>
  </si>
  <si>
    <t>Cambridge Pocket Clinicians Ser.</t>
  </si>
  <si>
    <t>Aziz, Omer;Purkayastha, Sanjay;Paraskeva, Paraskevas</t>
  </si>
  <si>
    <t>RD32 -- .H77 2009eb</t>
  </si>
  <si>
    <t>617/.91</t>
  </si>
  <si>
    <t>Perioperative Care</t>
  </si>
  <si>
    <t>Essentials of Business Ethics : Creating an Organization of High Integrity and Superior Performance</t>
  </si>
  <si>
    <t>Essentials Ser.</t>
  </si>
  <si>
    <t>Collins, Denis</t>
  </si>
  <si>
    <t>Philosophy; Business/Management</t>
  </si>
  <si>
    <t>HF5387 -- .C625 2009eb</t>
  </si>
  <si>
    <t>174/.4</t>
  </si>
  <si>
    <t>Business ethics. ; Free enterprise -- Moral and ethical aspects.</t>
  </si>
  <si>
    <t>Nonprofit Bookkeeping and Accounting for Dummies</t>
  </si>
  <si>
    <t>For Dummies</t>
  </si>
  <si>
    <t>Farris, Sharon</t>
  </si>
  <si>
    <t>HF5686.N56 -- F377 2009eb</t>
  </si>
  <si>
    <t>Nonprofit organizations -- Accounting. ; Nonprofit organizations -- United States -- Accounting -- Handbooks, manuals, etc.</t>
  </si>
  <si>
    <t>The International Encyclopedia of Depression</t>
  </si>
  <si>
    <t>Springer Publishing Company, Incorporated</t>
  </si>
  <si>
    <t>Ingram, Rick</t>
  </si>
  <si>
    <t>RC537.I573 2009</t>
  </si>
  <si>
    <t>616.85/27003</t>
  </si>
  <si>
    <t>Depression, Mental -- Encyclopedias. ; Mental illness.</t>
  </si>
  <si>
    <t>The Handbook of Pidgin and Creole Studies</t>
  </si>
  <si>
    <t>Blackwell Handbooks in Linguistics Ser.</t>
  </si>
  <si>
    <t>Kouwenberg, Silvia;Singler, John Victor</t>
  </si>
  <si>
    <t>Language/Linguistics</t>
  </si>
  <si>
    <t>PM7802.H36 2008</t>
  </si>
  <si>
    <t>Pidgin languages. ; Creole dialects.</t>
  </si>
  <si>
    <t>A Companion to Ovid</t>
  </si>
  <si>
    <t>Knox, Peter E.</t>
  </si>
  <si>
    <t>PA6537.C57 2009</t>
  </si>
  <si>
    <t>871/.01</t>
  </si>
  <si>
    <t>Ovid, -- 43 B.C.-17 or 18 A.D. -- Criticism and interpretation. ; Epistolary poetry, Latin -- History and criticism. ; Didactic poetry, Latin -- History and criticism. ; Elegiac poetry, Latin -- History and criticism. ; Mythology, Classical, in literature. ; Love in literature. ; Rome -- In literature.</t>
  </si>
  <si>
    <t>The Encyclopedia of Positive Psychology</t>
  </si>
  <si>
    <t>Lopez, Shane J.;Lopez, Shane J.</t>
  </si>
  <si>
    <t>Psychology</t>
  </si>
  <si>
    <t>BF204.6.E53 2009</t>
  </si>
  <si>
    <t>150.19/8</t>
  </si>
  <si>
    <t>Positive psychology -- Encyclopedias. ; Psychology -- Encyclopedias.</t>
  </si>
  <si>
    <t>Personal Recovery and Mental Illness : A Guide for Mental Health Professionals</t>
  </si>
  <si>
    <t>Values-Based Practice Ser.</t>
  </si>
  <si>
    <t>Slade, Mike</t>
  </si>
  <si>
    <t>Medicine; Social Science; Health</t>
  </si>
  <si>
    <t>RA790.5 -- .S484 2009eb</t>
  </si>
  <si>
    <t>Mental Disorders - rehabilitation</t>
  </si>
  <si>
    <t>The SAGE Dictionary of Sports Studies</t>
  </si>
  <si>
    <t>Malcolm, Dominic</t>
  </si>
  <si>
    <t>Sport &amp;amp; Recreation; Social Science</t>
  </si>
  <si>
    <t>GV567 -- .M335 2008eb</t>
  </si>
  <si>
    <t>Sports - Sociological aspects</t>
  </si>
  <si>
    <t>Tools for Teaching</t>
  </si>
  <si>
    <t>Jossey-Bass</t>
  </si>
  <si>
    <t>Davis, Barbara Gross</t>
  </si>
  <si>
    <t>Education</t>
  </si>
  <si>
    <t>LB2331 -- .D37 2009eb</t>
  </si>
  <si>
    <t>College teaching -- United States -- Handbooks, manuals, etc. ; Classroom management -- United States -- Handbooks, manuals, etc. ; Curriculum planning -- United States -- Handbooks, manuals, etc.</t>
  </si>
  <si>
    <t>A Probability and Statistics Companion</t>
  </si>
  <si>
    <t>Kinney, John J.</t>
  </si>
  <si>
    <t>QA273 -- .K494 2009eb</t>
  </si>
  <si>
    <t>Probabilities. ; Probabilistic number theory.</t>
  </si>
  <si>
    <t>The Corporate Culture Survival Guide</t>
  </si>
  <si>
    <t>J-B Warren Bennis Ser.</t>
  </si>
  <si>
    <t>Schein, Edgar H.</t>
  </si>
  <si>
    <t>HD58.7 -- .S3217 2009eb</t>
  </si>
  <si>
    <t>658.4/06</t>
  </si>
  <si>
    <t>Corporate culture. ; Culture. ; Organizational behavior.</t>
  </si>
  <si>
    <t>The Handbook of East Asian Psycholinguistics: Volume 3, Korean : Volume 3, Korean</t>
  </si>
  <si>
    <t>Lee, Chungmin;Simpson, Greg B.;Kim, Youngjin;Li, Ping</t>
  </si>
  <si>
    <t>P37.45.C45 -- H363 2006eb</t>
  </si>
  <si>
    <t>Psycholinguistics -- East Asia. ; Linguistics -- East Asia.</t>
  </si>
  <si>
    <t>Mathematics for Physics : A Guided Tour for Graduate Students</t>
  </si>
  <si>
    <t>Stone, Michael;Goldbart, Paul</t>
  </si>
  <si>
    <t>Science; Science: Physics</t>
  </si>
  <si>
    <t>QC20 -- .S76 2009eb</t>
  </si>
  <si>
    <t>Mathematical physics</t>
  </si>
  <si>
    <t>The Cambridge Handbook of Personality Psychology</t>
  </si>
  <si>
    <t>Corr, Philip J.;Matthews, Gerald</t>
  </si>
  <si>
    <t>BF698 -- .C155 2009eb</t>
  </si>
  <si>
    <t>Canadian wit and humor. ; Canada -- Politics and government -- Humor.</t>
  </si>
  <si>
    <t>Handbook of Psychology of Investigative Interviewing : Current Developments and Future Directions</t>
  </si>
  <si>
    <t xml:space="preserve">Bull, Ray;Valentine, Tim;Williamson, Tom;Williamson, Dr Tom </t>
  </si>
  <si>
    <t>HV8073.H258 2009</t>
  </si>
  <si>
    <t>363.25/4019</t>
  </si>
  <si>
    <t>Interviewing in law enforcement -- Psychological aspects. ; Police questioning -- Psychological aspects. ; Criminal investigation -- Psychological aspects.</t>
  </si>
  <si>
    <t>The Handbook of Language Teaching</t>
  </si>
  <si>
    <t>Long, Michael H.;Doughty, Catherine J.</t>
  </si>
  <si>
    <t>P51 -- .H3265 2009eb</t>
  </si>
  <si>
    <t>Language and languages -- Study and teaching -- Handbooks, manuals, etc. ; Second language acquisition -- Handbooks, manuals, etc.</t>
  </si>
  <si>
    <t>Encyclopedia of Ecology and Environmental Management</t>
  </si>
  <si>
    <t>Environmental Studies</t>
  </si>
  <si>
    <t>GE300 -- .E53 1998eb</t>
  </si>
  <si>
    <t>Environmental management -- Encyclopedias. ; Ecology -- Encyclopedias.</t>
  </si>
  <si>
    <t>Wiley Guide to Chemical Incompatibilities</t>
  </si>
  <si>
    <t>Pohanish, Richard P.;Greene, Stanley A.</t>
  </si>
  <si>
    <t>Engineering; Engineering: General; Engineering: Chemical</t>
  </si>
  <si>
    <t>T55.3.H3 -- P647 2009eb</t>
  </si>
  <si>
    <t>660/.2804</t>
  </si>
  <si>
    <t>Hazardous substances -- Safety measures -- Handbooks, manuals, etc. ; Chemicals -- Safety measures -- Handbooks, manuals, etc.</t>
  </si>
  <si>
    <t>A Companion to American Military History : 2 Volume Set</t>
  </si>
  <si>
    <t>Bradford, James C.;Eberwein Robert</t>
  </si>
  <si>
    <t>History; Military Science</t>
  </si>
  <si>
    <t>E181.C735 2010</t>
  </si>
  <si>
    <t>Military art and science -- United States -- History. ; United States -- History, Military.</t>
  </si>
  <si>
    <t>The Cambridge Dictionary of Psychology</t>
  </si>
  <si>
    <t>Matsumoto, David</t>
  </si>
  <si>
    <t>BF31 -- .C28 2009eb</t>
  </si>
  <si>
    <t>Manual of Intrauterine Insemination and Ovulation Induction</t>
  </si>
  <si>
    <t>Dickey, Richard P.;Brinsden, Peter R.;Pyrzak, Roman</t>
  </si>
  <si>
    <t>RG134 -- .M35 2010eb</t>
  </si>
  <si>
    <t>618.1/78</t>
  </si>
  <si>
    <t>Ovulation Induction - methods</t>
  </si>
  <si>
    <t>Medication Safety : An Essential Guide</t>
  </si>
  <si>
    <t>Courtenay, Molly;Griffiths, Matt</t>
  </si>
  <si>
    <t>Pharmacy; Medicine</t>
  </si>
  <si>
    <t>RM138 -- .M43 2010eb</t>
  </si>
  <si>
    <t>Drugs - Prescribing - Safety measures</t>
  </si>
  <si>
    <t>The Cambridge Introduction to Postmodern Fiction</t>
  </si>
  <si>
    <t>Nicol, Bran</t>
  </si>
  <si>
    <t>PN3503 .N48 2009</t>
  </si>
  <si>
    <t>809.3/9113</t>
  </si>
  <si>
    <t>Fiction -- 20th century -- History and criticism. ; Postmodernism (Literature)</t>
  </si>
  <si>
    <t>Handbook of Women's Health</t>
  </si>
  <si>
    <t>Rosenfeld, Jo Ann</t>
  </si>
  <si>
    <t>Medicine; Health</t>
  </si>
  <si>
    <t>RC48.6 -- .H365 2009eb</t>
  </si>
  <si>
    <t>613/.04244</t>
  </si>
  <si>
    <t>Women - Health and hygiene</t>
  </si>
  <si>
    <t>The SAGE Companion to the City</t>
  </si>
  <si>
    <t>Hall, Timothy;Hubbard, Phil;Short, John Rennie</t>
  </si>
  <si>
    <t>HT151.S145 2008</t>
  </si>
  <si>
    <t>Urban geography</t>
  </si>
  <si>
    <t>Arabic-English Dictionary of Qurʾanic Usage</t>
  </si>
  <si>
    <t>BRILL</t>
  </si>
  <si>
    <t>Handbook of Oriental Studies. Section 1 the near and Middle East Ser.</t>
  </si>
  <si>
    <t>Badawi, Elsaid;Haleem, Muhammed Abdel</t>
  </si>
  <si>
    <t>Fifty Years of Philosophy of Religion: a Select Bibliography (1955-2005) : A Select Bibliography, 1955-2005</t>
  </si>
  <si>
    <t>Sanders, Andy;de Ridder, Kristof</t>
  </si>
  <si>
    <t>General Works/Reference</t>
  </si>
  <si>
    <t>Z7821.S26 2007</t>
  </si>
  <si>
    <t>Religion -- Philosophy -- Bibliography.</t>
  </si>
  <si>
    <t>Critical Companion to Contemporary Marxism</t>
  </si>
  <si>
    <t>Historical Materialism Book Ser.</t>
  </si>
  <si>
    <t>Bidet, Jacques;Kouvelakis, Stathis;Elliott, Gregory</t>
  </si>
  <si>
    <t>Social Science; Economics</t>
  </si>
  <si>
    <t>HX40.D425513 2008</t>
  </si>
  <si>
    <t>Socialism. ; Communism.</t>
  </si>
  <si>
    <t>The Carian Language</t>
  </si>
  <si>
    <t>Adiego, Ignacio</t>
  </si>
  <si>
    <t>P946.A35 2007</t>
  </si>
  <si>
    <t>Lexicon of Human Rights / les définitions des Droits de L'Homme</t>
  </si>
  <si>
    <t>Viale, Cédric</t>
  </si>
  <si>
    <t>K3239.6.V53 2008</t>
  </si>
  <si>
    <t>The Handbook of Career Advising</t>
  </si>
  <si>
    <t>Hughey, Kenneth F.;Nelson, Dorothy;Damminger, Joanne K.;McCalla-Wriggins, Betsy ;McCalla-Wriggins, Betsy</t>
  </si>
  <si>
    <t>LB2343 -- .H2727 2009eb</t>
  </si>
  <si>
    <t>378.1/9425</t>
  </si>
  <si>
    <t>Counseling in higher education -- United States. ; Vocational guidance -- United States. ; Career development -- United States. ; College students -- Employment -- United States.</t>
  </si>
  <si>
    <t>Handbook for Developing Emotional and Social Intelligence : Best Practices, Case Studies, and Strategies</t>
  </si>
  <si>
    <t>Center for Creative Leadership</t>
  </si>
  <si>
    <t>Hughes, Marcia;Thompson, Henry L.;Terrell, James Bradford</t>
  </si>
  <si>
    <t>BF576 -- .H35 2009eb</t>
  </si>
  <si>
    <t>Emotional intelligence. ; Social intelligence. ; Leadership. ; Executive coaching.</t>
  </si>
  <si>
    <t>The Essential College Professor : A Practical Guide to an Academic Career</t>
  </si>
  <si>
    <t>Buller, Jeffrey L.</t>
  </si>
  <si>
    <t>LB1778.2 -- .B85 2010eb</t>
  </si>
  <si>
    <t>378.1/202373</t>
  </si>
  <si>
    <t>College teachers -- United States. ; Universities and colleges -- United States -- Faculty. ; College teaching -- Vocational guidance -- United States.</t>
  </si>
  <si>
    <t>The CompleteLandlord. com Ultimate Property Management Handbook : Ultimate Property Management Handbook</t>
  </si>
  <si>
    <t>The CompleteLandlord.com</t>
  </si>
  <si>
    <t>Lederer, William A.</t>
  </si>
  <si>
    <t>Business/Management; Economics</t>
  </si>
  <si>
    <t>HD1394 -- .L43 2009eb</t>
  </si>
  <si>
    <t>333.33/8068;333.33068</t>
  </si>
  <si>
    <t>Real estate management. ; Rental housing -- Management. ; Landlord and tenant. ; Real estate investment.</t>
  </si>
  <si>
    <t>Building Law Encyclopaedia</t>
  </si>
  <si>
    <t>Chappell, David;Dunn, Michael H.;Cowlin, Michael</t>
  </si>
  <si>
    <t>Law; Literature</t>
  </si>
  <si>
    <t>KD1140.C484 2009</t>
  </si>
  <si>
    <t>Building laws -- England -- Encyclopedias. ; Building laws -- Wales -- Encyclopedias.</t>
  </si>
  <si>
    <t>International Handbook of Work and Health Psychology</t>
  </si>
  <si>
    <t>Cooper, Cary;Quick, James Campbell;Schabracq, Marc J.</t>
  </si>
  <si>
    <t>Psychology; Business/Management</t>
  </si>
  <si>
    <t>HF5548.8 -- .H26313 2009eb</t>
  </si>
  <si>
    <t>Psychology, Industrial. ; Job stress. ; Employees -- Mental health. ; Stress management. ; Employees -- Counseling of.</t>
  </si>
  <si>
    <t>A Companion to Latin American Literature and Culture</t>
  </si>
  <si>
    <t>Castro-Klaren, Sara;Castro-Klaren, Sara</t>
  </si>
  <si>
    <t>PQ7081.A1C555 2008</t>
  </si>
  <si>
    <t>860.9/98</t>
  </si>
  <si>
    <t>Latin American literature -- History and criticism. ; Latin America -- Intellectual life. ; Latin America -- Social life and customs.</t>
  </si>
  <si>
    <t>The Child : An Encyclopedic Companion</t>
  </si>
  <si>
    <t>University of Chicago Press</t>
  </si>
  <si>
    <t>Shweder, Richard A.;Bidell, Thomas R.;Dailey, Anne C.;Dixon, Suzanne D.;Miller, Peggy J.;Modell, John</t>
  </si>
  <si>
    <t>HQ767</t>
  </si>
  <si>
    <t>Children -- Encyclopedias. ; Child development -- Encyclopedias.</t>
  </si>
  <si>
    <t>Law and the Humanities : An Introduction</t>
  </si>
  <si>
    <t>Sarat, Austin;Anderson, Matthew;Frank, Cathrine O.</t>
  </si>
  <si>
    <t>K487.H86 -- L39 2010eb</t>
  </si>
  <si>
    <t>344/.097</t>
  </si>
  <si>
    <t>Law and the humanities</t>
  </si>
  <si>
    <t>A Handbook for the Study of Mental Health : Social Contexts, Theories, and Systems</t>
  </si>
  <si>
    <t>Scheid, Teresa L.;Brown, Tony N.</t>
  </si>
  <si>
    <t>Social Science; Medicine; Psychology; Health</t>
  </si>
  <si>
    <t>RC455 -- .H285 2010eb</t>
  </si>
  <si>
    <t>362.196/89</t>
  </si>
  <si>
    <t>Social psychiatry</t>
  </si>
  <si>
    <t>The Handbook of Global Outsourcing and Offshoring</t>
  </si>
  <si>
    <t>Oshri, I.;Kotlarsky, J.;Willcocks, L.</t>
  </si>
  <si>
    <t>HD30.28</t>
  </si>
  <si>
    <t>658.4/058</t>
  </si>
  <si>
    <t>Management science</t>
  </si>
  <si>
    <t>A Companion to Epistemology</t>
  </si>
  <si>
    <t>Sosa, Ernest;Steup, Matthias;Dancy, Jonathan</t>
  </si>
  <si>
    <t>BD161.C637 2010</t>
  </si>
  <si>
    <t>Knowledge, Theory of. ; Philosophy.</t>
  </si>
  <si>
    <t>Handbook of Personality and Self-Regulation</t>
  </si>
  <si>
    <t>Hoyle, Rick H.</t>
  </si>
  <si>
    <t>BF698.H63 2010</t>
  </si>
  <si>
    <t>Personality development</t>
  </si>
  <si>
    <t>Business Continuity and BS25999 : A Combined Glossary</t>
  </si>
  <si>
    <t>IT Governance Publishing</t>
  </si>
  <si>
    <t>ITGP</t>
  </si>
  <si>
    <t>Calder, Alan</t>
  </si>
  <si>
    <t>HF5548.37 -- .C35 2008eb</t>
  </si>
  <si>
    <t>Ciencias sociales -- Artículos -- Publicaciones periódicas. ; Social sciences -- Periodicals. ; Articulos -- Publicaciones periodicas ; Libros electronicos.</t>
  </si>
  <si>
    <t>A Companion to Philosophy of Religion</t>
  </si>
  <si>
    <t>Taliaferro, Charles;Draper, Paul;Quinn, Philip L.</t>
  </si>
  <si>
    <t>BL51.C634 2010</t>
  </si>
  <si>
    <t>Religion -- Philosophy. ; Philosophy and religion.</t>
  </si>
  <si>
    <t>A Companion to Crime Fiction</t>
  </si>
  <si>
    <t>Rzepka, Charles J.;Horsley, Lee</t>
  </si>
  <si>
    <t>PN3448.D4C557 2010</t>
  </si>
  <si>
    <t>Detective and mystery stories -- History and criticism. ; Crime in literature. ; Detective and mystery films -- History and criticism.</t>
  </si>
  <si>
    <t>The Blackwell Companion to the Economics of Housing : The Housing Wealth of Nations</t>
  </si>
  <si>
    <t>Blackwell Companions to Contemporary Economics Ser.</t>
  </si>
  <si>
    <t>Smith, Susan J.;Searle, Beverley A.</t>
  </si>
  <si>
    <t>Economics; Business/Management</t>
  </si>
  <si>
    <t>HD7287.B54 2010</t>
  </si>
  <si>
    <t>Housing. ; Housing -- Finance.</t>
  </si>
  <si>
    <t>The Blackwell Companion to the New Testament</t>
  </si>
  <si>
    <t>Wiley Blackwell Companions to Religion Ser.</t>
  </si>
  <si>
    <t>Aune, David E.</t>
  </si>
  <si>
    <t>BS2330.3.B53 2010</t>
  </si>
  <si>
    <t>Bible. -- N.T. -- Introductions. ; Theology.</t>
  </si>
  <si>
    <t>A Companion to Tudor Literature</t>
  </si>
  <si>
    <t>Cartwright, Kent</t>
  </si>
  <si>
    <t>PR413.C65 2010</t>
  </si>
  <si>
    <t>English literature -- Early modern, 1500-1700 -- History and criticism. ; Great Britain -- Civilization -- 16th century.</t>
  </si>
  <si>
    <t>A Companion to Twentieth-Century United States Fiction</t>
  </si>
  <si>
    <t>Seed, David</t>
  </si>
  <si>
    <t>PS379.C635 2010</t>
  </si>
  <si>
    <t>American fiction -- 20th century -- History and criticism -- Handbooks, manuals, etc. ; Literature and society -- United States -- History -- 20th century -- Handbooks, manuals, etc.</t>
  </si>
  <si>
    <t>Environmental Sciences : A Students Companion</t>
  </si>
  <si>
    <t>Gregory, Kenneth J.;Simmons, Ian;Brazel, Anthony;Day, John W.;Keller, Edward A.;Yanez-Arancibia, Alejandro;Sylvester, Arthur G.</t>
  </si>
  <si>
    <t>GE70 -- .G74 2009eb</t>
  </si>
  <si>
    <t>Environmental sciences</t>
  </si>
  <si>
    <t>2010 Britannica Student Encyclopedia</t>
  </si>
  <si>
    <t>Britannica Student, 16</t>
  </si>
  <si>
    <t>Encyclopaedia Britannica Inc.</t>
  </si>
  <si>
    <t>Juvenile Literature; General Works/Reference</t>
  </si>
  <si>
    <t>AG5 -- .B841 2010eb</t>
  </si>
  <si>
    <t>Children's encyclopedias and dictionaries. ; English language -- Encyclopedias.</t>
  </si>
  <si>
    <t>The Palgrave Handbook of Childhood Studies</t>
  </si>
  <si>
    <t>Qvortrup, J.;Corsaro, W.;Honig, M.</t>
  </si>
  <si>
    <t>HM</t>
  </si>
  <si>
    <t>Social work</t>
  </si>
  <si>
    <t>A Companion to Horace</t>
  </si>
  <si>
    <t>Davis, Gregson</t>
  </si>
  <si>
    <t>Geography/Travel; Literature</t>
  </si>
  <si>
    <t>GA102.4.E4C73 2010</t>
  </si>
  <si>
    <t>Horace. ; Horace -- Criticism and interpretation. ; Poets, Latin -- Biography. ; Epistolary poetry, Latin -- History and criticism. ; Laudatory poetry, Latin -- History and criticism. ; Verse satire, Latin -- History and criticism. ; Rome -- In literature.</t>
  </si>
  <si>
    <t>A Companion to Byzantium</t>
  </si>
  <si>
    <t>James, Liz</t>
  </si>
  <si>
    <t>DF552.C63 2010</t>
  </si>
  <si>
    <t>949.5/02</t>
  </si>
  <si>
    <t>Byzantine Empire - Civilization</t>
  </si>
  <si>
    <t>Bullying Prevention for Schools : A Step-By-Step Guide to Implementing a Successful Anti-Bullying Program</t>
  </si>
  <si>
    <t>Beane, Allan L.</t>
  </si>
  <si>
    <t>LB3013.3 -- .B433 2009eb</t>
  </si>
  <si>
    <t>371.5/8</t>
  </si>
  <si>
    <t>Bullying in schools -- Prevention -- Handbooks, manuals, etc. ; Bullying -- Prevention -- Handbooks, manuals, etc. ; School violence -- Prevention -- Handbooks, manuals, etc.</t>
  </si>
  <si>
    <t>A Companion to the American Short Story</t>
  </si>
  <si>
    <t>Bendixen, Alfred;Nagel, James</t>
  </si>
  <si>
    <t>PS374.S5C58 2010</t>
  </si>
  <si>
    <t>813/.0103</t>
  </si>
  <si>
    <t>Short stories, American -- History and criticism. ; American literature.</t>
  </si>
  <si>
    <t>A New Companion to English Renaissance Literature and Culture</t>
  </si>
  <si>
    <t>Hattaway, Michael</t>
  </si>
  <si>
    <t>PR411.C663 2010</t>
  </si>
  <si>
    <t>English literature -- Early modern, 1500-1700 -- History and criticism -- Handbooks, manuals, etc. ; Renaissance -- England -- Handbooks, manuals, etc. ; England -- Civilization -- 16th century -- Handbooks, manuals, etc. ; England -- Civilization -- 17th century -- Handbooks, manuals, etc.</t>
  </si>
  <si>
    <t>A Companion to American Literature and Culture</t>
  </si>
  <si>
    <t>Lauter, Paul</t>
  </si>
  <si>
    <t>PS88.C63 2010</t>
  </si>
  <si>
    <t>American literature -- History and criticism. ; Popular culture -- United States.</t>
  </si>
  <si>
    <t>A Concise Companion to American Studies</t>
  </si>
  <si>
    <t>Rowe, John Carlos</t>
  </si>
  <si>
    <t>E169.1.C6925 2010</t>
  </si>
  <si>
    <t>National characteristics, American -- History. ; United States -- Study and teaching. ; United States -- Civilization. ; United States -- Historiography.</t>
  </si>
  <si>
    <t>Ecology</t>
  </si>
  <si>
    <t>Britannica Illustrated Science Library</t>
  </si>
  <si>
    <t>Encyclopaedia Britannica Inc;Inc, Encyclopaedia Britannica</t>
  </si>
  <si>
    <t>Science; Science: Biology/Natural History</t>
  </si>
  <si>
    <t>QH540.4 -- .E36 2010eb</t>
  </si>
  <si>
    <t>Ecology -- Encyclopedias. ; Biology -- Encyclopedias.</t>
  </si>
  <si>
    <t>Environment : The Environment</t>
  </si>
  <si>
    <t>GE10 -- .E68 2010eb</t>
  </si>
  <si>
    <t>Ecology -- Encyclopedias. ; Environmental sciences -- Encyclopedias.</t>
  </si>
  <si>
    <t>Essentials of Response to Intervention</t>
  </si>
  <si>
    <t>Essentials of Psychological Assessment Ser.</t>
  </si>
  <si>
    <t xml:space="preserve">VanDerHeyden, Amanda M.;Burns, Matthew K.;Kaufman, Alan S. ;Kaufman, Nadeen L. </t>
  </si>
  <si>
    <t>LB2822.75 -- .V373 2010eb</t>
  </si>
  <si>
    <t>379.1/58</t>
  </si>
  <si>
    <t>Educational evaluation -- United States. ; Psychological tests for children -- United States. ; Educational tests and measurements -- United States.</t>
  </si>
  <si>
    <t>Sociology for Dummies</t>
  </si>
  <si>
    <t>Gabler, Jay</t>
  </si>
  <si>
    <t>HM585 -- .G33 2010eb</t>
  </si>
  <si>
    <t>Sociology -- Handbooks, manuals, etc. ; Sociology -- History -- Handbooks, manuals, etc.</t>
  </si>
  <si>
    <t>Handbook of Jealousy : Theory, Research, and Multidisciplinary Approaches</t>
  </si>
  <si>
    <t>Hart, Sybil L.;Legerstee, Maria</t>
  </si>
  <si>
    <t>BF575.J4H36 2010</t>
  </si>
  <si>
    <t>152.4/8</t>
  </si>
  <si>
    <t>Jealousy. ; Envy.</t>
  </si>
  <si>
    <t>A Companion to the Philosophy of Action</t>
  </si>
  <si>
    <t>O'Connor, Timothy;Sandis, Constantine;O'Connor, Timothy;Sandis, Constantine</t>
  </si>
  <si>
    <t>B105.A35C65 2010</t>
  </si>
  <si>
    <t>128/.4</t>
  </si>
  <si>
    <t>Act (Philosophy) ; Philosophy.</t>
  </si>
  <si>
    <t>The New Blackwell Companion to the Sociology of Religion</t>
  </si>
  <si>
    <t>Turner, Bryan S.</t>
  </si>
  <si>
    <t>Social Science; Religion</t>
  </si>
  <si>
    <t>BL60.B53 2010</t>
  </si>
  <si>
    <t>Religion and sociology. ; Religion and social status.</t>
  </si>
  <si>
    <t>The Obstetric Hematology Manual</t>
  </si>
  <si>
    <t>Pavord, Sue;Hunt, Beverley</t>
  </si>
  <si>
    <t>RG580.H47 O265 2010</t>
  </si>
  <si>
    <t>Obstetrics -- Handbooks, manuals, etc. ; Hematology -- Handbooks, manuals, etc.</t>
  </si>
  <si>
    <t>Evaluating Clinical and Public Health Interventions : A Practical Guide to Study Design and Statistics</t>
  </si>
  <si>
    <t>Katz, Mitchell H.</t>
  </si>
  <si>
    <t>Health; Social Science</t>
  </si>
  <si>
    <t>RA399.A1 K385 2010</t>
  </si>
  <si>
    <t>Medical care -- Evaluation -- Methodology. ; Health promotion -- Evaluation -- Methodology.</t>
  </si>
  <si>
    <t>A Practical Guide to International Philanthropy</t>
  </si>
  <si>
    <t>Moore, Jonathon R.</t>
  </si>
  <si>
    <t>KF740 -- .M66 2010eb</t>
  </si>
  <si>
    <t>Charitable uses, trusts, and foundations - United States</t>
  </si>
  <si>
    <t>An Introduction to Kant's Moral Philosophy</t>
  </si>
  <si>
    <t>Uleman, Jennifer K.</t>
  </si>
  <si>
    <t>B2799.E8 -- U54 2010eb</t>
  </si>
  <si>
    <t>Kant, Immanuel</t>
  </si>
  <si>
    <t>Cormac Mccarthy : A Literary Companion</t>
  </si>
  <si>
    <t>McFarland &amp; Company, Incorporated Publishers</t>
  </si>
  <si>
    <t>McFarland Literary Companions Ser.</t>
  </si>
  <si>
    <t>Hage, Erik</t>
  </si>
  <si>
    <t>PS3563.C337Z68 2010</t>
  </si>
  <si>
    <t>813/.54</t>
  </si>
  <si>
    <t>McCarthy, Cormac</t>
  </si>
  <si>
    <t>A/V A to Z : An Encyclopedic Dictionary of Media, Entertainment and Other Audiovisual Terms</t>
  </si>
  <si>
    <t>Kroon, Richard W.</t>
  </si>
  <si>
    <t>Social Science; Fine Arts</t>
  </si>
  <si>
    <t>P87.5.K76 2010</t>
  </si>
  <si>
    <t>Mass media -- Dictionaries. ; Communication -- Dictionaries.</t>
  </si>
  <si>
    <t>Encyclopedia of Reincarnation and Karma</t>
  </si>
  <si>
    <t>McClelland, Norman C.</t>
  </si>
  <si>
    <t>BL515.M38 2010</t>
  </si>
  <si>
    <t>Karma</t>
  </si>
  <si>
    <t>Essentials of Forensic Psychological Assessment</t>
  </si>
  <si>
    <t>Ackerman, Marc J.;Ackerman, Ph.D., Marc J</t>
  </si>
  <si>
    <t>Medicine; Health; Social Science</t>
  </si>
  <si>
    <t>RA1148 -- .A28 2010eb</t>
  </si>
  <si>
    <t>614/.15</t>
  </si>
  <si>
    <t>Forensic psychology. ; Psychology, Applied.</t>
  </si>
  <si>
    <t>Genetics for Dummies</t>
  </si>
  <si>
    <t>For dummies</t>
  </si>
  <si>
    <t>Robinson, Tara Rodden</t>
  </si>
  <si>
    <t>Medicine; Science; Science: Biology/Natural History</t>
  </si>
  <si>
    <t>RB155 -- .R63 2010eb</t>
  </si>
  <si>
    <t>Medical genetics -- Handbooks, manuals, etc. ; Human genetics -- Handbooks, manuals, etc.</t>
  </si>
  <si>
    <t>The Blackwell Companion to Religion in America</t>
  </si>
  <si>
    <t>Goff, Philip</t>
  </si>
  <si>
    <t>BL2525.B58 2010</t>
  </si>
  <si>
    <t>Religion. ; United States -- Religion.</t>
  </si>
  <si>
    <t>A Companion to Biological Anthropology</t>
  </si>
  <si>
    <t>Wiley Blackwell Companions to Anthropology Ser.</t>
  </si>
  <si>
    <t>Larsen, Clark Spencer</t>
  </si>
  <si>
    <t>Science; Social Science; Science: Biology/Natural History</t>
  </si>
  <si>
    <t>GN60.C62 2010</t>
  </si>
  <si>
    <t>Physical anthropology. ; Human biology.</t>
  </si>
  <si>
    <t>The Cambridge Handbook of Forensic Psychology</t>
  </si>
  <si>
    <t>Brown, Jennifer M.;Campbell, Elizabeth A.</t>
  </si>
  <si>
    <t>Social Science; Medicine; Health</t>
  </si>
  <si>
    <t>RA1148 .C36 2010</t>
  </si>
  <si>
    <t>Forensic psychology. ; Forensic sciences.</t>
  </si>
  <si>
    <t>Spanish Essentials for Dummies</t>
  </si>
  <si>
    <t xml:space="preserve">Stein, Gail;Kraynak, Mary;Kraynak, </t>
  </si>
  <si>
    <t>PC4112 -- .S745 2010eb</t>
  </si>
  <si>
    <t>Spanish language -- Textbooks for foreign speakers -- English.</t>
  </si>
  <si>
    <t>A Dictionary of Cultural and Critical Theory</t>
  </si>
  <si>
    <t>Payne, Michael;Barbera, Jessica Rae</t>
  </si>
  <si>
    <t>HM621.D53 2010</t>
  </si>
  <si>
    <t>Culture -- Dictionaries. ; Critical theory -- Dictionaries. ; Electronic books.</t>
  </si>
  <si>
    <t>The Handbook of Race and Adult Education : A Resource for Dialogue on Racism</t>
  </si>
  <si>
    <t>Sheared, Vanessa;Johnson-Bailey, Juanita;Colin, Scipio A. J., III;Peterson, Elizabeth;Brookfield, Stephen D.;Cunningham, Phyllis M.;Johnson-Bailey, Juanita;Colin, Scipio A. J.</t>
  </si>
  <si>
    <t>LC212.5 -- .S54 2010eb</t>
  </si>
  <si>
    <t>374/.1829</t>
  </si>
  <si>
    <t>Racism in education -- Handbooks, manuals, etc. ; Discrimination in education -- Handbooks, manuals, etc. ; Adult education -- Handbooks, manuals, etc.</t>
  </si>
  <si>
    <t>The Shaping School Culture Fieldbook</t>
  </si>
  <si>
    <t>Peterson, Kent D.;Deal, Terrence E.</t>
  </si>
  <si>
    <t>LB2805 -- .P39 2009eb</t>
  </si>
  <si>
    <t>Educational leadership -- Handbooks, manuals, etc. ; School environment -- Handbooks, manuals, etc. ; Educational change -- Handbooks, manuals, etc.</t>
  </si>
  <si>
    <t>Legal Executions in the Western Territories, 1847-1911 : Arizona, Colorado, Idaho, Kansas, Montana, Nebraska, Nevada, New Mexico, North Dakota, Oklahoma, Oregon, South Dakota, Utah, Washington and Wyoming</t>
  </si>
  <si>
    <t>Wilson, R. Michael</t>
  </si>
  <si>
    <t>HV8699.U6W55 2010</t>
  </si>
  <si>
    <t>Capital punishment - West (U.S.) - History</t>
  </si>
  <si>
    <t>Business Innovation for Dummies</t>
  </si>
  <si>
    <t>Hiam, Alexander</t>
  </si>
  <si>
    <t>HD53 -- .H53 2010eb</t>
  </si>
  <si>
    <t>Creative ability in business -- Handbooks, manuals, etc. ; Success in business -- Handbooks, manuals, etc.</t>
  </si>
  <si>
    <t>Headache</t>
  </si>
  <si>
    <t xml:space="preserve">Schwedt, Todd J.;Gladstone, Jonathan P.;Purdy, R. Allan;Dodick, David W. </t>
  </si>
  <si>
    <t>RC392 .H413 2010</t>
  </si>
  <si>
    <t>Headache -- Handbooks, manuals, etc. ; Internal medicine.</t>
  </si>
  <si>
    <t>Wittgenstein's Philosophical Investigations : A Critical Guide</t>
  </si>
  <si>
    <t>Cambridge Critical Guides</t>
  </si>
  <si>
    <t>Ahmed, Arif</t>
  </si>
  <si>
    <t>B3376.W563 P532785 2010</t>
  </si>
  <si>
    <t>Wittgenstein, Ludwig, -- 1889-1951. -- Philosophische Untersuchungen. ; Language and languages -- Philosophy. ; Philosophy.</t>
  </si>
  <si>
    <t>An Introduction to Ethics</t>
  </si>
  <si>
    <t>Cambridge Introductions to Philosophy Ser.</t>
  </si>
  <si>
    <t>Deigh, John</t>
  </si>
  <si>
    <t>BJ1012 -- .D43 2010eb</t>
  </si>
  <si>
    <t>Ethics</t>
  </si>
  <si>
    <t>Anxiety Disorders in Adults a Clinical Guide</t>
  </si>
  <si>
    <t>Oxford University Press, Incorporated</t>
  </si>
  <si>
    <t>Starcevic, ,, Vladan</t>
  </si>
  <si>
    <t>RC531.S687 2010</t>
  </si>
  <si>
    <t>616.85/22</t>
  </si>
  <si>
    <t>Anxiety. ; Phobias.</t>
  </si>
  <si>
    <t>ISO27000 and Information Security : A Combined Glossary</t>
  </si>
  <si>
    <t>IT Governance Ltd</t>
  </si>
  <si>
    <t>Calder, Alan;Watkins, Steve</t>
  </si>
  <si>
    <t>Computer Science/IT</t>
  </si>
  <si>
    <t>QA76.9.A25 -- C341895 2010eb</t>
  </si>
  <si>
    <t>Nursing diagnosis -- Handbooks, manuals, etc. ; Nursing care plans -- Handbooks, manuals, etc.</t>
  </si>
  <si>
    <t>Dictionary of Sports and Games Terminology</t>
  </si>
  <si>
    <t>Room, Adrian</t>
  </si>
  <si>
    <t>GV567.R66 2010</t>
  </si>
  <si>
    <t>Sports -- Terminology. ; Games -- Terminology.</t>
  </si>
  <si>
    <t>International Libel and Privacy Handbook : A Global Reference for Journalists, Publishers, Webmasters, and Lawyers</t>
  </si>
  <si>
    <t>Bloomberg Press</t>
  </si>
  <si>
    <t>Bloomberg Financial Ser.</t>
  </si>
  <si>
    <t>Glasser, Charles J., Jr.;Winkler, Matthew</t>
  </si>
  <si>
    <t>K930 -- .I58 2009eb</t>
  </si>
  <si>
    <t>346.03/4</t>
  </si>
  <si>
    <t>Libel and slander. ; Privacy, Right of. ; Freedom of speech. ; Mass media -- Law and legislation.</t>
  </si>
  <si>
    <t>Handbook of Iron Overload Disorders</t>
  </si>
  <si>
    <t xml:space="preserve">Barton, James C.;Edwards, Corwin Q.;Phatak, Pradyumna D.;Britton, Robert S. ;Bacon, Bruce R. </t>
  </si>
  <si>
    <t>RC632.I7 H36 2010</t>
  </si>
  <si>
    <t>616.1/52</t>
  </si>
  <si>
    <t>Iron -- Metabolism -- Disorders -- Handbooks, manuals, etc. ; Metabolism -- Disorders -- Handbooks, manuals, etc.</t>
  </si>
  <si>
    <t>An Introduction to Plant Structure and Development : Plant Anatomy for the Twenty-First Century</t>
  </si>
  <si>
    <t>Beck, Charles B.</t>
  </si>
  <si>
    <t>Science; Science: Botany; Science: Biology/Natural History</t>
  </si>
  <si>
    <t>QK641 .B38 2010</t>
  </si>
  <si>
    <t>Plant anatomy. ; Growth (Plants)</t>
  </si>
  <si>
    <t>Handbook of Fetal Medicine</t>
  </si>
  <si>
    <t>Kumar, Sailesh</t>
  </si>
  <si>
    <t>RG600 .K86 2010</t>
  </si>
  <si>
    <t>Perinatology -- Handbooks, manuals, etc. ; Fetus -- Diseases -- Handbooks, manuals, etc.</t>
  </si>
  <si>
    <t>Working with Deaf People : A Handbook for Healthcare Professionals</t>
  </si>
  <si>
    <t>Middleton, Anna</t>
  </si>
  <si>
    <t>Medicine; Social Science</t>
  </si>
  <si>
    <t>R727.3 .W67 2010</t>
  </si>
  <si>
    <t>362.4/2</t>
  </si>
  <si>
    <t>Medical personnel and patient -- Handbooks, manuals, etc. ; Deaf -- Medical care -- Handbooks, manuals, etc.</t>
  </si>
  <si>
    <t>Encyclopedia of Vampire Mythology</t>
  </si>
  <si>
    <t>Bane, Theresa</t>
  </si>
  <si>
    <t>GR830.V3B34 2010</t>
  </si>
  <si>
    <t>398.21/003</t>
  </si>
  <si>
    <t>Vampires</t>
  </si>
  <si>
    <t>Dictionary of Erotic Artists : Painters, Sculptors, Printmakers, Graphic Designers, and Illustrators</t>
  </si>
  <si>
    <t>Burt, Eugene C.</t>
  </si>
  <si>
    <t>N8217.E6B87 2010</t>
  </si>
  <si>
    <t>704.9/4280922 B</t>
  </si>
  <si>
    <t>Erotic art</t>
  </si>
  <si>
    <t>A Companion to Latin American Philosophy</t>
  </si>
  <si>
    <t xml:space="preserve">Nuccetelli, Susana;Schutte, Ofelia;Bueno, Otávio;Bueno, Otávio;Schutte, Ofelia;Bueno, Otávio;Bueno, Otá Vio </t>
  </si>
  <si>
    <t>B1001 -- .C65 2010eb</t>
  </si>
  <si>
    <t>Philosophy, Latin American. ; Philosophy -- Latin America.</t>
  </si>
  <si>
    <t>Handbook of Multicultural Counseling Competencies</t>
  </si>
  <si>
    <t xml:space="preserve">Erickson Cornish, Jennifer A.;Schreier, Barry A.;Nadkarni, Lavita I.;Metzger, Lynett Henderson ;Rodolfa, Emil R. ;Rodolfa, Emil R </t>
  </si>
  <si>
    <t>BF636.7.C76 -- H363 2010eb</t>
  </si>
  <si>
    <t>158/.308</t>
  </si>
  <si>
    <t>Cross-cultural counseling. ; Multiculturalism. ; Minorities -- Counseling of.</t>
  </si>
  <si>
    <t>The World from 1450 To 1700</t>
  </si>
  <si>
    <t>New Oxford World History Ser.</t>
  </si>
  <si>
    <t>Wills Jr., John E.</t>
  </si>
  <si>
    <t>History; Geography/Travel</t>
  </si>
  <si>
    <t>D228.W53 2009</t>
  </si>
  <si>
    <t>History, Modern. ; Europe -- History.</t>
  </si>
  <si>
    <t>The Handbook of Leadership and Professional Learning Communities</t>
  </si>
  <si>
    <t>Palgrave Macmillan US</t>
  </si>
  <si>
    <t>Mullen, C.</t>
  </si>
  <si>
    <t>LC189-214.53</t>
  </si>
  <si>
    <t>Educational leadership -- Handbooks, manuals, etc. ; School management and organization -- Handbooks, manuals, etc. ; Teachers -- Professional relationships -- Handbooks, manuals, etc. ; Teachers -- In-service training -- Handbooks, manuals, etc. ; Professional learning communities -- Handbooks, manuals, etc.</t>
  </si>
  <si>
    <t>Black American Biographies : The Journey of Achievement</t>
  </si>
  <si>
    <t>Rosen Publishing Group</t>
  </si>
  <si>
    <t>Britannica Educational Publishing</t>
  </si>
  <si>
    <t>African American History and Culture Ser.</t>
  </si>
  <si>
    <t>Wallenfeldt, Jeff;Britannica Educational Publishing Staff</t>
  </si>
  <si>
    <t>History; Juvenile Literature</t>
  </si>
  <si>
    <t>E185.96 -- .B523 2010eb</t>
  </si>
  <si>
    <t>920.0092/96073</t>
  </si>
  <si>
    <t>African Americans -- Biography -- Dictionaries, Juvenile. ; Ethnology -- United States -- Dictionaries, Juvenile.</t>
  </si>
  <si>
    <t>The Cambridge Introduction to Margaret Atwood</t>
  </si>
  <si>
    <t>Macpherson, Heidi Slettedahl</t>
  </si>
  <si>
    <t>PR9199.3.A8 Z743 2010</t>
  </si>
  <si>
    <t>818/.5409</t>
  </si>
  <si>
    <t>Atwood, Margaret, -- 1939- -- Criticism and interpretation. ; Authors, Canadian.</t>
  </si>
  <si>
    <t>The Cambridge Introduction to William Wordsworth</t>
  </si>
  <si>
    <t>Mason, Emma</t>
  </si>
  <si>
    <t>PR5888 .M384 2010</t>
  </si>
  <si>
    <t>821/.7</t>
  </si>
  <si>
    <t>Wordsworth, William, -- 1770-1850 -- Criticism and interpretation. ; Authors, English.</t>
  </si>
  <si>
    <t>Essential Tools for Management Consulting : Tools, Models and Approaches for Clients and Consultants</t>
  </si>
  <si>
    <t>Burtonshaw-Gunn, Simon;Salameh, Malik;Burtonshaw-Gunn, Simon</t>
  </si>
  <si>
    <t>HD69.C6 -- B864 2010eb</t>
  </si>
  <si>
    <t>Business consultants. ; Consulting firms -- Management.</t>
  </si>
  <si>
    <t>Essential Tools for Operations Management : Tools, Models and Approaches for Managers and Consultants</t>
  </si>
  <si>
    <t>HD31 -- .B85247 2010eb</t>
  </si>
  <si>
    <t>Production management. ; Industrial management.</t>
  </si>
  <si>
    <t>The Essential Management Toolbox : Tools, Models and Notes for Managers and Consultants</t>
  </si>
  <si>
    <t>Burtonshaw-Gunn, Simon;Burtonshaw-Gunn, Simon</t>
  </si>
  <si>
    <t>HD31 .B85246 2009</t>
  </si>
  <si>
    <t>Management</t>
  </si>
  <si>
    <t>Oxford American Handbook of Cardiology</t>
  </si>
  <si>
    <t>Oxford American Handbooks of Medicine Ser.</t>
  </si>
  <si>
    <t>Bender, Jeffrey;Russell, Kerry;Rosenfeld, Lynda;Chaudry, Sabeen</t>
  </si>
  <si>
    <t>RC669.15.O94 2011</t>
  </si>
  <si>
    <t>Cardiovascular system -- Diseases -- Handbooks, manuals, etc. ; Cardiology -- Handbooks, manuals, etc.</t>
  </si>
  <si>
    <t>Dictionary of Pseudonyms : 13,000 Assumed Names and Their Origins</t>
  </si>
  <si>
    <t>General Works/Reference; History</t>
  </si>
  <si>
    <t>Z1041.R66 2010</t>
  </si>
  <si>
    <t>929.4/03</t>
  </si>
  <si>
    <t>Anonyms and pseudonyms</t>
  </si>
  <si>
    <t>The Caucasus : An Introduction</t>
  </si>
  <si>
    <t>de Waal, Thomas</t>
  </si>
  <si>
    <t>DK509.D33 2010</t>
  </si>
  <si>
    <t>Soviet Union - Relations - Caucasus Region</t>
  </si>
  <si>
    <t>Clinical Manual of Emergency Pediatrics</t>
  </si>
  <si>
    <t>Crain, Ellen F.;Gershel, Jeffrey C.;Cunningham, Sandra J.</t>
  </si>
  <si>
    <t>RJ370 .C55 2010</t>
  </si>
  <si>
    <t>618.92/0025</t>
  </si>
  <si>
    <t>Pediatric emergencies -- Handbooks, manuals, etc. ; Pediatrics -- Handbooks, manuals, etc.</t>
  </si>
  <si>
    <t>The Cambridge Introduction to the Old Norse-Icelandic Saga</t>
  </si>
  <si>
    <t>Clunies Ross, Margaret</t>
  </si>
  <si>
    <t>PT7181 .R67 2010</t>
  </si>
  <si>
    <t>839/.6/09</t>
  </si>
  <si>
    <t>Sagas -- History and criticism. ; Old Norse literature -- History and criticism.</t>
  </si>
  <si>
    <t>The Subfertility Handbook : A Clinician's Guide</t>
  </si>
  <si>
    <t>Kovacs, Gab</t>
  </si>
  <si>
    <t>RC889 .S83 2011</t>
  </si>
  <si>
    <t>Infertility -- Handbooks, manuals, etc. ; Fertility, Human.</t>
  </si>
  <si>
    <t>The Cambridge Introduction to Chekhov</t>
  </si>
  <si>
    <t>Loehlin, James N.</t>
  </si>
  <si>
    <t>Literature; Fiction</t>
  </si>
  <si>
    <t>PG3458.Z8 L64 2010</t>
  </si>
  <si>
    <t>Chekhov, Anton Pavlovich, -- 1860-1904 -- Criticism and interpretation. ; Authors, Russian.</t>
  </si>
  <si>
    <t>The Cambridge Introduction to the Novel</t>
  </si>
  <si>
    <t>MacKay, Marina</t>
  </si>
  <si>
    <t>PN3353 .M245 2011</t>
  </si>
  <si>
    <t>Fiction -- History and criticism.</t>
  </si>
  <si>
    <t>The Cambridge Introduction to Shakespeare's Poetry</t>
  </si>
  <si>
    <t>Schoenfeldt, Michael</t>
  </si>
  <si>
    <t>PR2984 .S36 2010</t>
  </si>
  <si>
    <t>Shakespeare, William, -- 1564-1616 -- Poetic works. ; Shakespeare, William, -- 1564-1616. -- Sonnets. ; Narrative poetry, English -- History and criticism. ; Sonnets, English -- History and criticism.</t>
  </si>
  <si>
    <t>The Elementary / Middle School Counselor's Survival Guide</t>
  </si>
  <si>
    <t>J-B Ed: Survival Guides</t>
  </si>
  <si>
    <t>Schmidt, John J.</t>
  </si>
  <si>
    <t>LB1027.5 -- .S259 2010eb</t>
  </si>
  <si>
    <t>Counseling in elementary education -- United States. ; Counseling in middle school education -- United States. ; Student counselors -- United States.</t>
  </si>
  <si>
    <t>A Dictionary of Confusable Phrases : More Than 10,000 Idioms and Collocations</t>
  </si>
  <si>
    <t>Dolgopolov, Yuri</t>
  </si>
  <si>
    <t>PE1464.D66 2010</t>
  </si>
  <si>
    <t>423/.13</t>
  </si>
  <si>
    <t>Manual of Inpatient Psychiatry</t>
  </si>
  <si>
    <t>Casher, Michael I.;Bess, Joshua D.</t>
  </si>
  <si>
    <t>Medicine; Health; Social Science; Psychology</t>
  </si>
  <si>
    <t>RC439 -- .C325 2010eb</t>
  </si>
  <si>
    <t>362.2/1</t>
  </si>
  <si>
    <t>Medical assistants -- Handbooks, manuals, etc. ; Clinical medicine.</t>
  </si>
  <si>
    <t>Foundations of Psychiatric Sleep Medicine</t>
  </si>
  <si>
    <t>Winkelman, John W.;Plante, David T.</t>
  </si>
  <si>
    <t>RC547 .F68 2010</t>
  </si>
  <si>
    <t>Sleep disorders. ; Sleep disorders -- Psychological aspects. ; Psychiatry. ; Mental illness -- Complications.</t>
  </si>
  <si>
    <t>The Cambridge Introduction to Literature and the Environment</t>
  </si>
  <si>
    <t>Clark, Timothy</t>
  </si>
  <si>
    <t>PN98.E36 C53 2011</t>
  </si>
  <si>
    <t>Ecocriticism. ; Nature in literature.</t>
  </si>
  <si>
    <t>The Essential Guide to Effect Sizes : Statistical Power, Meta-Analysis, and the Interpretation of Research Results</t>
  </si>
  <si>
    <t>Ellis, Paul D.</t>
  </si>
  <si>
    <t>Science: General; Science</t>
  </si>
  <si>
    <t>Q180.55.S7 E45 2010</t>
  </si>
  <si>
    <t>Research -- Statistical methods. ; Sampling (Statistics)</t>
  </si>
  <si>
    <t>Rats, Bats, and Xenarthrans</t>
  </si>
  <si>
    <t>The Britannica Guide to Predators and Prey Ser.</t>
  </si>
  <si>
    <t>Rafferty, John P.;Britannica Educational Publishing Staff</t>
  </si>
  <si>
    <t>QL737.R666R39 2011</t>
  </si>
  <si>
    <t>Rats -- Juvenile literature. ; Bats -- Juvenile literature. ; Xenarthra -- Juvenile literature.</t>
  </si>
  <si>
    <t>The Handbook of Stress Science : Biology, Psychology, and Health</t>
  </si>
  <si>
    <t>Contrada, Richard;Baum, Andrew</t>
  </si>
  <si>
    <t>Medicine; Science: Biology/Natural History; Science</t>
  </si>
  <si>
    <t>QP82.2.S8H37 2010</t>
  </si>
  <si>
    <t>616.9/8</t>
  </si>
  <si>
    <t>Stress (Physiology) -- Handbooks, manuals, etc. ; Stress (Psychology) -- Handbooks, manuals, etc.</t>
  </si>
  <si>
    <t>The Psychologist's Companion : A Guide to Writing Scientific Papers for Students and Researchers</t>
  </si>
  <si>
    <t>Sternberg, Robert J.;Sternberg, Karin</t>
  </si>
  <si>
    <t>Literature; Psychology</t>
  </si>
  <si>
    <t>BF76.8 .S73 2010</t>
  </si>
  <si>
    <t>808/.06615</t>
  </si>
  <si>
    <t>Report writing. ; Psychological literature.</t>
  </si>
  <si>
    <t>An Introduction to Star Formation</t>
  </si>
  <si>
    <t>Ward-Thompson, Derek;Whitworth, Anthony P.;Whitworth, Anthony</t>
  </si>
  <si>
    <t>QB806 .W36 2011</t>
  </si>
  <si>
    <t>Stars -- Formation. ; Stars -- Evolution.</t>
  </si>
  <si>
    <t>Biomes and Ecosystems</t>
  </si>
  <si>
    <t>The Living Earth Ser.</t>
  </si>
  <si>
    <t>Rafferty, John P.;Britannica Educational Publishing Staff;Rafferty, John P</t>
  </si>
  <si>
    <t>Science: Biology/Natural History; Science</t>
  </si>
  <si>
    <t>QH541.14 -- .B56 2010eb</t>
  </si>
  <si>
    <t>Biotic communities -- Juvenile literature. ; Ecology -- Juvenile literature. ; Evolution (Biology) -- Juvenile literature.</t>
  </si>
  <si>
    <t>Carnivores : Meat-Eating Mammals</t>
  </si>
  <si>
    <t>QL737.C2 -- C347 2010eb</t>
  </si>
  <si>
    <t>Carnivora -- Juvenile literature. ; Mammals.</t>
  </si>
  <si>
    <t>Persian Gulf States : Kuwait, Qatar, Bahrain, Oman, and the United Arab Emirates</t>
  </si>
  <si>
    <t>Middle East: Region in Transition Ser.</t>
  </si>
  <si>
    <t>Etheredge, Laura S.;Britannica Educational Publishing Staff</t>
  </si>
  <si>
    <t>DS247.A13 -- P48 2010eb</t>
  </si>
  <si>
    <t>Persian Gulf States -- History. ; Persian Gulf States -- Encyclopedias.</t>
  </si>
  <si>
    <t>Primates</t>
  </si>
  <si>
    <t>Science: Zoology; Science</t>
  </si>
  <si>
    <t>QL737.P9 -- P6762 2010eb</t>
  </si>
  <si>
    <t>Primates -- Juvenile literature. ; Mammals.</t>
  </si>
  <si>
    <t>Discipline Survival Guide for the Secondary Teacher</t>
  </si>
  <si>
    <t>Thompson, Julia G.</t>
  </si>
  <si>
    <t>LB3013 -- .T56 2011eb</t>
  </si>
  <si>
    <t>373.1102/4</t>
  </si>
  <si>
    <t>Classroom management. ; Education, Secondary. ; Teacher effectiveness. ; Teacher-student relationships.</t>
  </si>
  <si>
    <t>Handbook of Sports Medicine and Science : The Paralympic Athlete</t>
  </si>
  <si>
    <t>Vanlandewijck, Yves C.;Thompson, Walter R.</t>
  </si>
  <si>
    <t>GV183.5 -- .P37 2011eb</t>
  </si>
  <si>
    <t>Paralympics. ; Athletes with disabilities. ; Athletes with disabilities -- Health and hygiene. ; Sports for people with disabilities.</t>
  </si>
  <si>
    <t>The Concise Encyclopedia of Sociology</t>
  </si>
  <si>
    <t>Ritzer, George;Ryan, J. Michael</t>
  </si>
  <si>
    <t>HM425 -- .C66 2011eb</t>
  </si>
  <si>
    <t>Sociology -- Encyclopedias. ; Social sciences -- Encyclopedias.</t>
  </si>
  <si>
    <t>A Companion to Ancient Macedonia</t>
  </si>
  <si>
    <t>Roisman, Joseph;Worthington, Ian</t>
  </si>
  <si>
    <t>DF261.M2C66 2010</t>
  </si>
  <si>
    <t>938/.1</t>
  </si>
  <si>
    <t>Macedonia -- History -- To 168 B.C. ; Macedonia -- Civilization.</t>
  </si>
  <si>
    <t>The Encyclopedia of Eastern Orthodox Christianity</t>
  </si>
  <si>
    <t>McGuckin, John Anthony</t>
  </si>
  <si>
    <t>BX230 -- .E53 2011eb</t>
  </si>
  <si>
    <t>281/.503</t>
  </si>
  <si>
    <t>Orthodox Eastern Church -- Encyclopedias.</t>
  </si>
  <si>
    <t>The Polish American Encyclopedia</t>
  </si>
  <si>
    <t>Pula, James S.;Biskupski, M B B;Galush, William E;Jaroszynska-Kirchmann, Anna D;Napierkowski, Thomas J;Pease, Neal</t>
  </si>
  <si>
    <t>E184.P7 -- P6836 2011eb</t>
  </si>
  <si>
    <t>973/.049185</t>
  </si>
  <si>
    <t>Polish Americans -- Encyclopedias. ; Polish Americans -- Biography -- Encyclopedias.</t>
  </si>
  <si>
    <t>Space Exploration</t>
  </si>
  <si>
    <t>Encyclopaedia Britannica, Inc. &amp; Sol 90</t>
  </si>
  <si>
    <t>Sol 90;Sol 90</t>
  </si>
  <si>
    <t>Engineering: General; Science: Astronomy; Engineering; Science</t>
  </si>
  <si>
    <t>QB500 -- .S63 2011eb</t>
  </si>
  <si>
    <t>Management. ; Leadership.</t>
  </si>
  <si>
    <t>World Exploration From Ancient Times</t>
  </si>
  <si>
    <t>Learn and Explore</t>
  </si>
  <si>
    <t>Green, Anthony;Green, Anthony</t>
  </si>
  <si>
    <t>Geography/Travel</t>
  </si>
  <si>
    <t>G83 -- .W67 2011eb</t>
  </si>
  <si>
    <t>910/.9/01</t>
  </si>
  <si>
    <t>Customer relations. ; Customer services. ; Consumer satisfaction.</t>
  </si>
  <si>
    <t>A Concise Encyclopedia of the United Nations</t>
  </si>
  <si>
    <t>Volger, Helmut</t>
  </si>
  <si>
    <t>KZ4968 -- .L4913 2010eb</t>
  </si>
  <si>
    <t>341.23/03</t>
  </si>
  <si>
    <t>United Nations -- Encyclopedias. ; International law -- Encyclopedias. ; International cooperation -- Encyclopedias. ; International relations -- Encyclopedias.</t>
  </si>
  <si>
    <t>Writing Essays for Dummies</t>
  </si>
  <si>
    <t>Page, Mary;Winstanley, Carrie;Winstanley, Carrie</t>
  </si>
  <si>
    <t>PN4500 -- .P34 2009eb</t>
  </si>
  <si>
    <t>Essay -- Authorship -- Handbooks, manuals, etc. ; English language -- Rhetoric -- Handbooks, manuals, etc.</t>
  </si>
  <si>
    <t>A Companion to the Punic Wars</t>
  </si>
  <si>
    <t>Hoyos, Dexter</t>
  </si>
  <si>
    <t>DG241 -- .C66 2011eb</t>
  </si>
  <si>
    <t>Punic wars. ; Rome -- History -- Republic, 265-30 B.C.</t>
  </si>
  <si>
    <t>Introduction to the Science of Medical Imaging</t>
  </si>
  <si>
    <t>Bryan, R. Nick</t>
  </si>
  <si>
    <t>RC78.7.D53 -- I585 2010eb</t>
  </si>
  <si>
    <t>Diagnostic imaging</t>
  </si>
  <si>
    <t>Essentials of Intellectual Property : Law, Economics, and Strategy</t>
  </si>
  <si>
    <t>Essentials Series</t>
  </si>
  <si>
    <t>Poltorak, Alexander I.;Lerner, Paul J.</t>
  </si>
  <si>
    <t>KF2980 -- .P65 2011eb</t>
  </si>
  <si>
    <t>346.7304/8</t>
  </si>
  <si>
    <t>Intellectual property -- United States. ; Intangible property -- United States.</t>
  </si>
  <si>
    <t>The CSI Construction Contract Administration Practice Guide</t>
  </si>
  <si>
    <t>CSI Practice Guides</t>
  </si>
  <si>
    <t>Construction Specifications Institute</t>
  </si>
  <si>
    <t>Engineering; Engineering: Construction</t>
  </si>
  <si>
    <t>TH425 -- .C75 2011eb</t>
  </si>
  <si>
    <t>Buildings -- Specifications -- Handbooks, manuals, etc. ; Construction contracts -- Handbooks, manuals, etc. ; Letting of contracts -- Handbooks, manuals, etc. ; Construction industry -- Management -- Handbooks, manuals, etc.</t>
  </si>
  <si>
    <t>The Handbook for Student Leadership Development</t>
  </si>
  <si>
    <t xml:space="preserve">Komives, Susan R.;Dugan, John P.;Owen, Julie E.;Slack, Craig ;Wagner, Wendy ;National Clearinghouse of Leadership Programs (NCLP);Owen, Julie E </t>
  </si>
  <si>
    <t>LB2342.92 -- .K65 2011eb</t>
  </si>
  <si>
    <t>378.1/98</t>
  </si>
  <si>
    <t>Student affairs services -- United States -- Handbooks, manuals, etc. ; College student development programs -- United States -- Handbooks, manuals, etc. ; Counseling in higher education -- United States -- Handbooks, manuals, etc.</t>
  </si>
  <si>
    <t>British History for Dummies</t>
  </si>
  <si>
    <t>Lang, Seán;Lang, Seán</t>
  </si>
  <si>
    <t>DA34 -- .L35 2008eb</t>
  </si>
  <si>
    <t>Great Britain -- History -- Handbooks, manuals, etc. ; Great Britain -- History -- Outlines, syllabi, etc. ; Great Britain -- History.</t>
  </si>
  <si>
    <t>A Companion to the Anthropology of India</t>
  </si>
  <si>
    <t>Clark-Decès, Isabelle;Clark-Decès, Isabelle</t>
  </si>
  <si>
    <t>HN683 -- .C585 2011eb</t>
  </si>
  <si>
    <t>Anthropology -- India. ; India -- Social conditions. ; India -- Economic conditions. ; India -- Population.</t>
  </si>
  <si>
    <t>The Handbook of Hispanic Sociolinguistics</t>
  </si>
  <si>
    <t>Diaz-Campos, Manuel</t>
  </si>
  <si>
    <t>Language/Linguistics; Social Science</t>
  </si>
  <si>
    <t>PC4074.75 -- .H36 2011eb</t>
  </si>
  <si>
    <t>Spanish language -- Social aspects. ; Sociolinguistics.</t>
  </si>
  <si>
    <t>Every Day of the Civil War : A Chronological Encyclopedia</t>
  </si>
  <si>
    <t>Hannings, Bud</t>
  </si>
  <si>
    <t>E468.3 -- .H35 2010eb</t>
  </si>
  <si>
    <t>United States - History - Civil War, 1861-1865</t>
  </si>
  <si>
    <t>Arthurian Figures of History and Legend : A Biographical Dictionary</t>
  </si>
  <si>
    <t>Reno, Frank D.</t>
  </si>
  <si>
    <t>DA152.5.A7 -- R458 2011eb</t>
  </si>
  <si>
    <t>Arthur, -- King -- Contemporaries -- Dictionaries. ; Malory, Thomas, -- Sir, -- 15th cent. -- Morte d'Arthur -- Characters. ; Arthurian romances -- Dictionaries. ; Britons -- Biography -- Dictionaries. ; Great Britain -- History -- To 1066 -- Biography -- Dictionaries. ; Great Britain -- Antiquities, Celtic -- Dictionaries. ; Great Britain -- History -- To 1066 -- Folklore -- Dictionaries.</t>
  </si>
  <si>
    <t>Legal Executions after Statehood in North Dakota, South Dakota, Wyoming, Montana, Idaho, Washington and Oregon : A Comprehensive Registry</t>
  </si>
  <si>
    <t>HV8699.U6 -- W55 2011eb</t>
  </si>
  <si>
    <t>Executions and executioners -- West (U.S.) -- Chronology. ; Capital punishment -- West (U.S.) -- History. ; Criminal justice, Administration of -- West (U.S.) -- History.</t>
  </si>
  <si>
    <t>Classic Asian Philosophy : A Guide to the Essential Texts</t>
  </si>
  <si>
    <t>Kupperman, Joel J.</t>
  </si>
  <si>
    <t>B121 -- .K85 2007eb</t>
  </si>
  <si>
    <t>Philosophy, Asian. ; Asia -- Religion.</t>
  </si>
  <si>
    <t>Oxford American Mini-Handbook of Gastrointestinal Cancers</t>
  </si>
  <si>
    <t>Lyman, Gary H.;Cassidy, Global Head of Translational Medicine ( Oncology) Jim</t>
  </si>
  <si>
    <t>RC280.D5 -- L96 2010eb</t>
  </si>
  <si>
    <t>Gastrointestinal system -- Cancer -- Handbooks, manuals, etc. ; Oncology -- Handbooks, manuals, etc.</t>
  </si>
  <si>
    <t>The Cambridge Dictionary of Christianity</t>
  </si>
  <si>
    <t>Patte, Daniel</t>
  </si>
  <si>
    <t>BR95 .C24 2010</t>
  </si>
  <si>
    <t>Christianity -- Dictionaries.</t>
  </si>
  <si>
    <t>A Companion to Social Geography</t>
  </si>
  <si>
    <t>Wiley Blackwell Companions to Geography Ser.</t>
  </si>
  <si>
    <t>Del Casino, Vincent J., Jr.;Thomas, Mary;Cloke, Paul;Panelli, Ruth</t>
  </si>
  <si>
    <t>Social Science; Environmental Studies</t>
  </si>
  <si>
    <t>GF41.C5735 2011</t>
  </si>
  <si>
    <t>Human geography. ; Social sciences.</t>
  </si>
  <si>
    <t>A Companion to Cognitive Anthropology</t>
  </si>
  <si>
    <t xml:space="preserve">Kronenfeld, David B.;Bennardo, Giovanni;de Munck, Victor C.;Fischer, Michael D. </t>
  </si>
  <si>
    <t>GN502 -- .C62 2011eb</t>
  </si>
  <si>
    <t>Ethnopsychology. ; Cognition and culture.</t>
  </si>
  <si>
    <t>The Wiley-Blackwell Handbook of Individual Differences</t>
  </si>
  <si>
    <t>HPIZ - Wiley-Blackwell Handbooks in Personality and Individual Differences Ser.</t>
  </si>
  <si>
    <t>Chamorro-Premuzic, Tomas;von Stumm, Sophie;Furnham, Adrian;Chamorro-premuzic, Tomas</t>
  </si>
  <si>
    <t>BF697.W4933 2011eb</t>
  </si>
  <si>
    <t>Individual differences -- Handbooks, manuals, etc. ; Personality -- Handbooks, manuals, etc. ; Intellect -- Handbooks, manuals, etc.</t>
  </si>
  <si>
    <t>IAAP Handbook of Applied Psychology</t>
  </si>
  <si>
    <t>Martin, Paul R.;Cheung, Fanny M.;Knowles, Michael C.;Kyrios, Michael;Littlefield, Lyn ;Overmier, J. Bruce ;Prieto, José M.;Prieto, José M.</t>
  </si>
  <si>
    <t>BF636 -- .I23 2011eb</t>
  </si>
  <si>
    <t>Psychology, Applied. ; Psychology -- Handbooks, manuals, etc.</t>
  </si>
  <si>
    <t>The Wiley-Blackwell Companion to Human Geography</t>
  </si>
  <si>
    <t>Agnew, John A.;Duncan, James S.</t>
  </si>
  <si>
    <t>Environmental Studies; Social Science</t>
  </si>
  <si>
    <t>GF41.W554 2011eb</t>
  </si>
  <si>
    <t>Human geography.</t>
  </si>
  <si>
    <t>The Blackwell Companion to Christian Ethics</t>
  </si>
  <si>
    <t>Blackwell companions to religion</t>
  </si>
  <si>
    <t>Hauerwas, Stanley;Wells, Samuel</t>
  </si>
  <si>
    <t>Religion; Philosophy</t>
  </si>
  <si>
    <t>BJ1251 -- .B54 2011eb</t>
  </si>
  <si>
    <t>Christian ethics. ; Public worship -- Moral and ethical aspects.</t>
  </si>
  <si>
    <t>Bookkeeping Essentials : How to Succeed As a Bookkeeper</t>
  </si>
  <si>
    <t>Bragg, Steven M.</t>
  </si>
  <si>
    <t>HF5636 -- .B832 2011eb</t>
  </si>
  <si>
    <t>Bookkeeping. ; Accounting. ; Fraud -- Prevention.</t>
  </si>
  <si>
    <t>Handbook of Practical Medical Terms (English Chinese)</t>
  </si>
  <si>
    <t>Hong Kong University Press</t>
  </si>
  <si>
    <t>Wei, William I.;Cheng, Stephen W.K.;Ng, Anthony</t>
  </si>
  <si>
    <t>R121 -- .W45 2008eb</t>
  </si>
  <si>
    <t>Psychology -- Outlines, syllabi, etc. ; Psychology -- Handbooks, manuals, etc.</t>
  </si>
  <si>
    <t>Cultural Encyclopedia of LSD</t>
  </si>
  <si>
    <t>Glausser, Wayne</t>
  </si>
  <si>
    <t>HV5822.L9 -- G53 2011eb</t>
  </si>
  <si>
    <t>362.29/403</t>
  </si>
  <si>
    <t>LSD (Drug) -- Social aspects. ; LSD (Drug) -- History.</t>
  </si>
  <si>
    <t>Slave Narratives after Slavery</t>
  </si>
  <si>
    <t>Andrews, William L.</t>
  </si>
  <si>
    <t>E444 -- .S567 2011eb</t>
  </si>
  <si>
    <t>Slaves - Southern States - Social conditions - 19th century</t>
  </si>
  <si>
    <t>A History of the Supreme Court</t>
  </si>
  <si>
    <t>Schwartz, Bernard</t>
  </si>
  <si>
    <t>KF8742 -- .S39 1995eb</t>
  </si>
  <si>
    <t>347.73/26/09 347</t>
  </si>
  <si>
    <t>United States. -- Supreme Court -- History. ; Law -- United States -- History.</t>
  </si>
  <si>
    <t>Legal Executions in Tennessee : A Comprehensive Registry, 1782-2009</t>
  </si>
  <si>
    <t>Laska, Lewis L.</t>
  </si>
  <si>
    <t>HV8699.U6 -- T285 2011eb</t>
  </si>
  <si>
    <t>Executions and executioners -- Tennessee -- History. ; Criminal procedure -- Tennessee.</t>
  </si>
  <si>
    <t>Edward Hopper Encyclopedia</t>
  </si>
  <si>
    <t>Mamunes, Lenora</t>
  </si>
  <si>
    <t>N6537.H6 -- M36 2011eb</t>
  </si>
  <si>
    <t>Hopper, Edward, -- 1882-1967 -- Encyclopedias.</t>
  </si>
  <si>
    <t>The Halloween Encyclopedia</t>
  </si>
  <si>
    <t>Morton, Lisa</t>
  </si>
  <si>
    <t>GT4965 -- .M673 2011eb</t>
  </si>
  <si>
    <t>Halloween -- Encyclopedias.</t>
  </si>
  <si>
    <t>The Animated Film Encyclopedia : A Complete Guide to American Shorts, Features and Sequences, 1900-1979</t>
  </si>
  <si>
    <t>Webb, Graham</t>
  </si>
  <si>
    <t>NC1766.U5 -- W44 2011eb</t>
  </si>
  <si>
    <t>791.4/33/03</t>
  </si>
  <si>
    <t>Animated films -- United States -- Encyclopedias.</t>
  </si>
  <si>
    <t>Stephen King : A Literary Companion</t>
  </si>
  <si>
    <t>Wood, Rocky</t>
  </si>
  <si>
    <t>PS3561.I483 -- Z954 2011eb</t>
  </si>
  <si>
    <t>King, Stephen, -- 1947- -- Criticism and interpretation. ; Authors, American -- 20th century.</t>
  </si>
  <si>
    <t>Bioethics Around the Globe</t>
  </si>
  <si>
    <t>Myser, Catherine</t>
  </si>
  <si>
    <t>Science: Biology/Natural History; Philosophy; Science</t>
  </si>
  <si>
    <t>QH332 -- .B51718 2011eb</t>
  </si>
  <si>
    <t>174/.957</t>
  </si>
  <si>
    <t>Bioethics. ; Bioethics -- Developing countries. ; Globalization.</t>
  </si>
  <si>
    <t>The SAGE Dictionary of Quantitative Management Research</t>
  </si>
  <si>
    <t>Moutinho, Luiz A. M.;Hutcheson, Graeme D.</t>
  </si>
  <si>
    <t>HD30.4 -- .S24 2011eb</t>
  </si>
  <si>
    <t>Management -- Research -- Methodology -- Dictionaries. ; Qualitative research -- Dictionaries.</t>
  </si>
  <si>
    <t>A Companion to Asian Art and Architecture</t>
  </si>
  <si>
    <t>Brown, Rebecca M.;Hutton, Deborah S.;Arnold, Dana</t>
  </si>
  <si>
    <t>N7340 -- .C63 2011eb</t>
  </si>
  <si>
    <t>Art, Asian. ; Architecture -- Asia.</t>
  </si>
  <si>
    <t>The Quantum Story : A History in 40 Moments</t>
  </si>
  <si>
    <t>Oxford Landmark Science Ser.</t>
  </si>
  <si>
    <t>Baggott, Jim;Baggott, J E</t>
  </si>
  <si>
    <t>QC173.98 -- .B34 2011eb</t>
  </si>
  <si>
    <t>Quantum theory -- History.</t>
  </si>
  <si>
    <t>Handbook of Health Social Work</t>
  </si>
  <si>
    <t xml:space="preserve">Gehlert, Sarah;Browne, Teri;Gehlert, Sarah ;Browne, Teri </t>
  </si>
  <si>
    <t>Social Science; Health</t>
  </si>
  <si>
    <t>HV687.A2 -- H36 2012eb</t>
  </si>
  <si>
    <t>362.1/0425</t>
  </si>
  <si>
    <t>ZBrush. ; Computer graphics. ; Human figure in art.</t>
  </si>
  <si>
    <t>International Handbook of Suicide Prevention : Research, Policy and Practice</t>
  </si>
  <si>
    <t>O'Connor, Rory C.;Platt, Stephen;Gordon, Jacki</t>
  </si>
  <si>
    <t>HV6545.I594 2011</t>
  </si>
  <si>
    <t>Suicide -- Prevention -- Research. ; Suicidal behavior -- Research.</t>
  </si>
  <si>
    <t>Wiley-Blackwell Encyclopedia of Human Evolution</t>
  </si>
  <si>
    <t>Blackwell Handbooks in Linguistics</t>
  </si>
  <si>
    <t>Wood, Bernard;Wood, Bernard</t>
  </si>
  <si>
    <t>GN281 -- .W534 2011eb</t>
  </si>
  <si>
    <t>Human evolution -- Encyclopedias.</t>
  </si>
  <si>
    <t>The Blackwell Companion to Religion and Violence</t>
  </si>
  <si>
    <t>Blackwell Companions to Religion</t>
  </si>
  <si>
    <t>Murphy, Andrew R.</t>
  </si>
  <si>
    <t>BL65.V55 -- B56 2011eb</t>
  </si>
  <si>
    <t>205/.697</t>
  </si>
  <si>
    <t>Violence -- Religious aspects. ; Religion.</t>
  </si>
  <si>
    <t>The Encyclopedia of the Novel</t>
  </si>
  <si>
    <t>Wiley-Blackwell Encyclopedia of Literature Ser.</t>
  </si>
  <si>
    <t>George, Olakunle;Hegeman, Susan;Kristal, Efraín;Logan, Peter Melville;Kristal, Efraín</t>
  </si>
  <si>
    <t>PN41 -- .E488 2014eb</t>
  </si>
  <si>
    <t>809.3/003</t>
  </si>
  <si>
    <t>Fiction -- Encyclopedias.</t>
  </si>
  <si>
    <t>The Blackwell Companion to Paul</t>
  </si>
  <si>
    <t>Westerholm, Stephen</t>
  </si>
  <si>
    <t>BS2651 -- .B53 2011eb</t>
  </si>
  <si>
    <t>227/.06</t>
  </si>
  <si>
    <t>Paul, -- the Apostle, Saint. ; Bible. -- N.T. -- Epistles of Paul -- Theology. ; Bible. -- N.T. -- Epistles of Paul -- Criticism, interpretation, etc. ; Apostles.</t>
  </si>
  <si>
    <t>The Handbook of Scholarly Writing and Publishing</t>
  </si>
  <si>
    <t>Hatcher, Timothy Gary;Creswell, John W.;Rocco, Tonette S.</t>
  </si>
  <si>
    <t>PN146 -- .R63 2011eb</t>
  </si>
  <si>
    <t>Authorship. ; Academic writing. ; Scholarly publishing.</t>
  </si>
  <si>
    <t>The English Teacher's Survival Guide : Ready-To-Use Techniques and Materials for Grades 7-12</t>
  </si>
  <si>
    <t>Brandvik, Mary Lou;McKnight, Katherine S.</t>
  </si>
  <si>
    <t>Education; Language/Linguistics</t>
  </si>
  <si>
    <t>LB1631 -- .B762 2011eb</t>
  </si>
  <si>
    <t>Language arts (Secondary) -- United States -- Handbooks, manuals, etc. ; High school teaching -- United States -- Handbooks, manuals, etc. ; Classroom management -- United States -- Handbooks, manuals, etc. ; English teachers -- United States -- Handbooks, manuals, etc.</t>
  </si>
  <si>
    <t>Writing a Dissertation for Dummies</t>
  </si>
  <si>
    <t>Winstanley, Carrie;Winstanley, Carrie</t>
  </si>
  <si>
    <t>Education; Literature</t>
  </si>
  <si>
    <t>LB2369 -- .W56 2009eb</t>
  </si>
  <si>
    <t>Dissertations, Academic -- Style manuals. ; Authorship -- Style manuals.</t>
  </si>
  <si>
    <t>Epilepsy</t>
  </si>
  <si>
    <t>What Do I Do Now Ser.</t>
  </si>
  <si>
    <t>Bazil, Carl W.;Chong, Derek J.;Friedman, Daniel</t>
  </si>
  <si>
    <t>RC372 -- .B386 2011eb</t>
  </si>
  <si>
    <t>Epilepsy -- Case studies.</t>
  </si>
  <si>
    <t>Handbook of the Syllable</t>
  </si>
  <si>
    <t>Brill's Handbooks in Linguistics Ser.</t>
  </si>
  <si>
    <t>E. Cairns, Charles;Raimy, Eric</t>
  </si>
  <si>
    <t>P236 -- .H36 2011eb</t>
  </si>
  <si>
    <t>414/.8</t>
  </si>
  <si>
    <t>Grammar, Comparative and general -- Syllable. ; Syllabication. ; Phonetics.</t>
  </si>
  <si>
    <t>The Britannica Guide to Basketball : Britannica Guide to Basketball</t>
  </si>
  <si>
    <t>The World of Sports Ser.</t>
  </si>
  <si>
    <t>Britannica Educational Publishing Staff;Augustyn, Adam</t>
  </si>
  <si>
    <t>GV885.1 -- .B75 2011eb</t>
  </si>
  <si>
    <t>Basketball -- Juvenile literature.</t>
  </si>
  <si>
    <t>Rocks : Landforms, Minerals, and Rocks: Rocks</t>
  </si>
  <si>
    <t>Geology: Landforms, Minerals, and Rocks Ser.</t>
  </si>
  <si>
    <t>Britannica Educational Publishing Staff;Rafferty, John</t>
  </si>
  <si>
    <t>Science: Geology; Science</t>
  </si>
  <si>
    <t>QE431.2 -- .R63 2012eb</t>
  </si>
  <si>
    <t>Rocks. ; Petology.</t>
  </si>
  <si>
    <t>On What Matters : Volume One</t>
  </si>
  <si>
    <t>The Berkeley Tanner Lectures</t>
  </si>
  <si>
    <t>Parfit, Derek</t>
  </si>
  <si>
    <t>BJ1012 -- .P37 2011eb</t>
  </si>
  <si>
    <t>Ethics.</t>
  </si>
  <si>
    <t>On What Matters : Volume Two</t>
  </si>
  <si>
    <t>Autism Spectrum Disorder</t>
  </si>
  <si>
    <t>Pittsburgh Pocket Psychiatry Ser.</t>
  </si>
  <si>
    <t>Lubetsky, Martin J.;Handen, Benjamin L.;McGonigle, John J.</t>
  </si>
  <si>
    <t>RJ506.A9 -- A92374 2011eb</t>
  </si>
  <si>
    <t>Autism in children -- Diagnosis. ; Autism in children -- Treatment.</t>
  </si>
  <si>
    <t>Handbook On Business Information Systems</t>
  </si>
  <si>
    <t>World Scientific Publishing Company</t>
  </si>
  <si>
    <t>World Scientific</t>
  </si>
  <si>
    <t>Gunasekaran, Angappa;Sandhu, Maqsood</t>
  </si>
  <si>
    <t>HD30.213.H356 2010</t>
  </si>
  <si>
    <t>Management information systems. ; Information technology.</t>
  </si>
  <si>
    <t>Britannica Enciclopedia Moderna</t>
  </si>
  <si>
    <t>Britannica Enciclopedia Moderna, 13</t>
  </si>
  <si>
    <t>AG61 -- .E535 2011eb</t>
  </si>
  <si>
    <t>Encyclopedias and dictionaries, Spanish. ; Encyclopedias and dictionaries.</t>
  </si>
  <si>
    <t>Spanish; Castilian</t>
  </si>
  <si>
    <t>Oxford American Handbook of Clinical Examination and Practical Skills</t>
  </si>
  <si>
    <t>Burns, Elizabeth;Korn, Kenneth;Whyte, James</t>
  </si>
  <si>
    <t>RC76 -- .B96 2011eb</t>
  </si>
  <si>
    <t>Physical diagnosis -- Handbooks, manuals, etc.</t>
  </si>
  <si>
    <t>Radioactivity : A History of a Mysterious Science</t>
  </si>
  <si>
    <t>Malley, Marjorie C.</t>
  </si>
  <si>
    <t>QC794.6.R3 -- M35 2011eb</t>
  </si>
  <si>
    <t>Radioactivity.</t>
  </si>
  <si>
    <t>Mexico : What Everyone Needs to Know®</t>
  </si>
  <si>
    <t>What Everyone Needs to Know® Ser.</t>
  </si>
  <si>
    <t>Camp, Roderic Ai</t>
  </si>
  <si>
    <t>Political Science; History</t>
  </si>
  <si>
    <t>JL1281 -- .C339 2011eb</t>
  </si>
  <si>
    <t>National security - Mexico</t>
  </si>
  <si>
    <t>Downs : The History of a Disability</t>
  </si>
  <si>
    <t>Biographies of Disease Ser.</t>
  </si>
  <si>
    <t>Wright, David</t>
  </si>
  <si>
    <t>RC571 -- .W75 2011eb</t>
  </si>
  <si>
    <t>616.85/8842</t>
  </si>
  <si>
    <t>Down syndrome - Patients - Care - History</t>
  </si>
  <si>
    <t>William Gibson : A Literary Companion</t>
  </si>
  <si>
    <t>Henthorne, Tom</t>
  </si>
  <si>
    <t>PS3557.I2264 -- Z75 2011eb</t>
  </si>
  <si>
    <t>Gibson, William, -- 1948- -- Handbooks, manuals, etc. ; Science fiction, American -- History and criticism.</t>
  </si>
  <si>
    <t>Heinlein's Juvenile Novels : A Cultural Dictionary</t>
  </si>
  <si>
    <t>Critical Explorations in Science Fiction and Fantasy Ser.</t>
  </si>
  <si>
    <t>Sullivan, C. W., III;Palumbo, Donald E.;Sullivan, C W , III</t>
  </si>
  <si>
    <t>PS3515.E288 -- Z459 2011eb</t>
  </si>
  <si>
    <t>Heinlein, Robert A. -- (Robert Anson), -- 1907-1988 -- Dictionaries.</t>
  </si>
  <si>
    <t>Antarctica : An Encyclopedia</t>
  </si>
  <si>
    <t>Stewart, John</t>
  </si>
  <si>
    <t>G855 -- .S74 2011eb</t>
  </si>
  <si>
    <t>919.8/9</t>
  </si>
  <si>
    <t>Antarctica -- Dictionaries.</t>
  </si>
  <si>
    <t>The Handbook of Touch : Neuroscience, Behavioral, and Health Perspectives</t>
  </si>
  <si>
    <t>Hertenstein, Matthew;Weiss, Sandra</t>
  </si>
  <si>
    <t>Science; Science: Anatomy/Physiology; Science: Biology/Natural History</t>
  </si>
  <si>
    <t>QP451.H153 2011</t>
  </si>
  <si>
    <t>612.8;612.8/8;612.88</t>
  </si>
  <si>
    <t>Touch. ; Senses and sensation.</t>
  </si>
  <si>
    <t>Religion in American Life : A Short History</t>
  </si>
  <si>
    <t>Religion in American Life Ser.</t>
  </si>
  <si>
    <t>Butler, Jon;Wacker, Grant;Balmer, Randall</t>
  </si>
  <si>
    <t>BL2525 -- .B88 2011eb</t>
  </si>
  <si>
    <t>Religion and culture -- United States. ; United States -- Religion.</t>
  </si>
  <si>
    <t>Handbook of Motivational Counseling : Goal-Based Approaches to Assessment and Intervention with Addiction and Other Problems</t>
  </si>
  <si>
    <t>Cox, W. Miles;Klinger, Eric</t>
  </si>
  <si>
    <t>BF505.G6 H36 2011</t>
  </si>
  <si>
    <t>158/.3</t>
  </si>
  <si>
    <t>Alcohol-Related Disorders - therapy</t>
  </si>
  <si>
    <t>A Companion to T. S. Eliot</t>
  </si>
  <si>
    <t>Chinitz, David E.</t>
  </si>
  <si>
    <t>PS3509.L43 -- Z64945 2009eb</t>
  </si>
  <si>
    <t>821/.912</t>
  </si>
  <si>
    <t>Eliot, T. S. -- (Thomas Stearns), -- 1888-1965 -- Criticism and interpretation -- Handbooks, manuals, etc.</t>
  </si>
  <si>
    <t>The Handbook of Internet Studies</t>
  </si>
  <si>
    <t>Handbooks in Communication and Media Ser.</t>
  </si>
  <si>
    <t>Consalvo, Mia;Ess, Charles;Burnett, Robert</t>
  </si>
  <si>
    <t>HM1017 -- .H36 2011eb</t>
  </si>
  <si>
    <t>Quality control -- Handbooks, manuals, etc. ; Total quality management.</t>
  </si>
  <si>
    <t>Legal Executions after Statehood in Arizona, Colorado, Nevada, New Mexico and Utah : A Comprehensive Registry</t>
  </si>
  <si>
    <t>HV8699.U6 -- W546 2012eb</t>
  </si>
  <si>
    <t>Executions and executioners -- West (U.S.) ; Capital punishment -- West (U.S.) -- History. ; Criminal justice, Administration of -- West (U.S.) -- History.</t>
  </si>
  <si>
    <t>Handbook of Life-Span Development</t>
  </si>
  <si>
    <t>Fingerman, Karen L.;Berg, Cynthia;Smith, Jacqui;Antonucci, Toni C.;Berg, Cynthia, PhD</t>
  </si>
  <si>
    <t>BF713.H36485 2011</t>
  </si>
  <si>
    <t>Developmental psychology -- Handbooks, manuals, etc. ; Developmental psychobiology -- Handbooks, manuals, etc.</t>
  </si>
  <si>
    <t>The Endocrine System : Endocrine System</t>
  </si>
  <si>
    <t>The Human Body II Ser.</t>
  </si>
  <si>
    <t>Rogers, Kara;Britannica Educational Publishing Staff</t>
  </si>
  <si>
    <t>Science: Biology/Natural History; Science; Science: Anatomy/Physiology</t>
  </si>
  <si>
    <t>QP187 -- .E6937 2012eb</t>
  </si>
  <si>
    <t>Endocrine glands -- Physiology -- Juvenile literature. ; Endocrine glands -- Diseases -- Juvenile literature.</t>
  </si>
  <si>
    <t>The Encyclopedia of Neuropsychological Disorders</t>
  </si>
  <si>
    <t>Horton, Arthur MacNeill, Jr.;Noggle, Chad A.;Dean, Raymond S.</t>
  </si>
  <si>
    <t>RC386 -- .E53 2012eb</t>
  </si>
  <si>
    <t>Yoga -- Juvenile fiction. ; American fiction.</t>
  </si>
  <si>
    <t>Encyclopedia of Television Shows, 1925 Through 2007</t>
  </si>
  <si>
    <t>Terrace, Vincent</t>
  </si>
  <si>
    <t>PN1992.3.U5 -- T463 2011eb</t>
  </si>
  <si>
    <t>791.45/750973</t>
  </si>
  <si>
    <t>Television programs -- United States -- Catalogs.</t>
  </si>
  <si>
    <t>Surnames, DNA, and Family History</t>
  </si>
  <si>
    <t>Redmonds, George;King, Turi;Hey, David</t>
  </si>
  <si>
    <t>CS14 -- .R43 2011eb</t>
  </si>
  <si>
    <t>Genealogy. ; Names, Personal. ; Genetics.</t>
  </si>
  <si>
    <t>Religion and Human Rights : An Introduction</t>
  </si>
  <si>
    <t>Witte, John, Jr.;Green, M. Christian;Witte, John</t>
  </si>
  <si>
    <t>BL65.H78 -- R43 2012eb</t>
  </si>
  <si>
    <t>201/.723</t>
  </si>
  <si>
    <t>Human rights -- Religious aspects. ; Religion and politics. ; Religions.</t>
  </si>
  <si>
    <t>Handbook of Child and Adolescent Drug and Substance Abuse : Pharmacological, Developmental, and Clinical Considerations</t>
  </si>
  <si>
    <t>Pagliaro, Louis A.;Pagliaro, Ann Marie</t>
  </si>
  <si>
    <t>RJ506.D78 -- P34 2012eb</t>
  </si>
  <si>
    <t>618.92/689</t>
  </si>
  <si>
    <t>Children -- Substance use -- North America. ; Teenagers -- Substance use -- North America. ; Drugs. ; Substance abuse -- North America.</t>
  </si>
  <si>
    <t>The Essential Department Chair : A Comprehensive Desk Reference</t>
  </si>
  <si>
    <t>Jossey-Bass Resources for Department Chairs Ser.</t>
  </si>
  <si>
    <t>Buller, Jeffrey L.;Buller, Jeffrey L.</t>
  </si>
  <si>
    <t>LB2341 -- .B744 2012eb</t>
  </si>
  <si>
    <t>378.1/11</t>
  </si>
  <si>
    <t>College department heads. ; Universities and colleges -- Administration.</t>
  </si>
  <si>
    <t>The Encyclopedia of Human Resource Management, Volume 1 : Short Entries</t>
  </si>
  <si>
    <t>Prescott, Robert K.;Rothwell, William J.</t>
  </si>
  <si>
    <t>HF5549.A23 -- S56 2012eb</t>
  </si>
  <si>
    <t>Personnel management -- Encyclopedias.</t>
  </si>
  <si>
    <t>The Encyclopedia of Human Resource Management, Volume 2 : HR Forms and Job Aids</t>
  </si>
  <si>
    <t>Lindholm, Jed;Yarrish, Karen;Zaballero, Aileen;Rothwell, William J.</t>
  </si>
  <si>
    <t>HF5549.A23 -- H74 2012eb</t>
  </si>
  <si>
    <t>Personnel management -- Encyclopedias. ; Personnel records.</t>
  </si>
  <si>
    <t>Dictionary of Developmental Biology and Embryology</t>
  </si>
  <si>
    <t>Dye, Frank J.</t>
  </si>
  <si>
    <t>QH491 -- .D94 2012eb</t>
  </si>
  <si>
    <t>Developmental biology -- Dictionaries. ; Embryology -- Dictionaries.</t>
  </si>
  <si>
    <t>The Social Media Handbook : Rules, Policies, and Best Practices to Successfully Manage Your Organization's Social Media Presence, Posts, and Potential</t>
  </si>
  <si>
    <t>Flynn, Nancy</t>
  </si>
  <si>
    <t>HM742 -- .F58 2012eb</t>
  </si>
  <si>
    <t>302.23/1</t>
  </si>
  <si>
    <t>Social media -- Economic aspects.</t>
  </si>
  <si>
    <t>Wind Energy Handbook</t>
  </si>
  <si>
    <t>Burton, Tony;Jenkins, Nick;Sharpe, David;Bossanyi, Ervin</t>
  </si>
  <si>
    <t>Engineering: General; Engineering: Mechanical; Engineering</t>
  </si>
  <si>
    <t>TJ820.H35 2011</t>
  </si>
  <si>
    <t>TECHNOLOGY &amp; ENGINEERING / Power Resources / General</t>
  </si>
  <si>
    <t>Food Additives Data Book</t>
  </si>
  <si>
    <t>Smith, Jim;Hong-Shum, Lily;Hong-Shum, Lily</t>
  </si>
  <si>
    <t>Engineering; Health; Engineering: Chemical</t>
  </si>
  <si>
    <t>TX553.A3 -- F562 2011eb</t>
  </si>
  <si>
    <t>Food additives -- Handbooks, manuals, etc. ; Food -- Composition -- Handbooks, manuals, etc.</t>
  </si>
  <si>
    <t>A Companion to Nietzsche</t>
  </si>
  <si>
    <t>Ansell-Pearson, Keith</t>
  </si>
  <si>
    <t>B3317 .C619</t>
  </si>
  <si>
    <t>Nietzsche, Friedrich Wilhelm, 1844-1900.</t>
  </si>
  <si>
    <t>A Companion to Phenomenology and Existentialism</t>
  </si>
  <si>
    <t>Dreyfus, Hubert L.;Wrathall, Mark A.</t>
  </si>
  <si>
    <t>B829.5 .C557</t>
  </si>
  <si>
    <t>142/.7</t>
  </si>
  <si>
    <t>Phenomenology</t>
  </si>
  <si>
    <t>A Companion to the History of the Book</t>
  </si>
  <si>
    <t>Eliot, Simon;Rose, Jonathan</t>
  </si>
  <si>
    <t>Z4.C73 2007</t>
  </si>
  <si>
    <t>Book industries and trade - History</t>
  </si>
  <si>
    <t>The Blackwell Handbook of Early Childhood Development</t>
  </si>
  <si>
    <t>Wiley Blackwell Handbooks of Developmental Psychology Ser.</t>
  </si>
  <si>
    <t>McCartney, Kathleen;Phillips, Deborah;Phillips, Deborah</t>
  </si>
  <si>
    <t>BF721.B44 2006</t>
  </si>
  <si>
    <t>Child, Preschool</t>
  </si>
  <si>
    <t>A Companion to the Roman Republic</t>
  </si>
  <si>
    <t>Rosenstein, Nathan;Morstein-Marx, Robert;Morstein-Marx, Robert</t>
  </si>
  <si>
    <t>DG235 .C65</t>
  </si>
  <si>
    <t>Rome -- Civilization. ; Rome -- History -- Republic, 510-30 B.C.</t>
  </si>
  <si>
    <t>A Companion to Medieval Art : Romanesque and Gothic in Northern Europe</t>
  </si>
  <si>
    <t>Rudolph, Conrad</t>
  </si>
  <si>
    <t>N5970.C56 2006</t>
  </si>
  <si>
    <t>Art, Medieval - Europe, Northern ; Art, Medieval -- Europe, Northern.</t>
  </si>
  <si>
    <t>A Companion to Museum Studies</t>
  </si>
  <si>
    <t>Macdonald, Sharon</t>
  </si>
  <si>
    <t>Museums</t>
  </si>
  <si>
    <t>AM7 .C59 2006</t>
  </si>
  <si>
    <t>Museum techniques. ; Museums -- Philosophy. ; Museums -- Social aspects.</t>
  </si>
  <si>
    <t>A Companion to the Civil War and Reconstruction</t>
  </si>
  <si>
    <t>Ford, Lacy</t>
  </si>
  <si>
    <t>E468.5.C64 2005</t>
  </si>
  <si>
    <t>A Companion to American Immigration</t>
  </si>
  <si>
    <t>Ueda, Reed</t>
  </si>
  <si>
    <t>Political Science; Social Science</t>
  </si>
  <si>
    <t>JV6465.C74 2006</t>
  </si>
  <si>
    <t>304.8/73</t>
  </si>
  <si>
    <t>United States - Emigration and immigration</t>
  </si>
  <si>
    <t>A Companion to Europe, 1900 - 1945</t>
  </si>
  <si>
    <t>Blackwell Companions to European History Ser.</t>
  </si>
  <si>
    <t>Martel, Gordon</t>
  </si>
  <si>
    <t>D424.C66 2006</t>
  </si>
  <si>
    <t>Europe - History - 20th century</t>
  </si>
  <si>
    <t>A Companion to the Roman Army</t>
  </si>
  <si>
    <t>Erdkamp, Paul</t>
  </si>
  <si>
    <t>Military Science</t>
  </si>
  <si>
    <t>U35.C648 2007</t>
  </si>
  <si>
    <t>Military history, Ancient ; Military history, Ancient. ; Rome - Army ; Rome -- Army. ; Rome - History, Military ; Rome -- History, Military.</t>
  </si>
  <si>
    <t>The Encyclopedia of Human Resource Management, Volume 3 : Thematic Essays</t>
  </si>
  <si>
    <t>Rothwell, William J.;Benscoter, George M. (Bud)</t>
  </si>
  <si>
    <t>HF5549.A23 -- T44 2012eb</t>
  </si>
  <si>
    <t>The Complete CPA Reference</t>
  </si>
  <si>
    <t>Dauber, Nick A.;Shim, Jae K.;Siegel, Joel G.</t>
  </si>
  <si>
    <t>HF5636 -- .D377 2012eb</t>
  </si>
  <si>
    <t>Accounting -- Handbooks, manuals, etc.</t>
  </si>
  <si>
    <t>The Graphic Designer's Guide to Portfolio Design</t>
  </si>
  <si>
    <t>Myers, Debbie Rose</t>
  </si>
  <si>
    <t>NC1001 -- .M94 2009eb</t>
  </si>
  <si>
    <t>Art portfolios -- Design. ; Design services -- Marketing. ; Graphic arts -- Vocational guidance. ; Computer graphics.</t>
  </si>
  <si>
    <t>A Companion to World War I</t>
  </si>
  <si>
    <t>Horne, John</t>
  </si>
  <si>
    <t>D521.C5835 2010</t>
  </si>
  <si>
    <t>World War, 1914-1918. ; World War, 1914-1918 -- Social aspects.</t>
  </si>
  <si>
    <t>The Wiley-Blackwell Companion to Sociology</t>
  </si>
  <si>
    <t>Ritzer, George</t>
  </si>
  <si>
    <t>HM585.W55 2011</t>
  </si>
  <si>
    <t>Sociology. ; Social sciences.</t>
  </si>
  <si>
    <t>The Wiley-Blackwell Handbook of Couples and Family Relationships</t>
  </si>
  <si>
    <t>Noller, Patricia;Karantzas, Gery C.</t>
  </si>
  <si>
    <t>HQ519.W55 2012</t>
  </si>
  <si>
    <t>Families -- Psychological aspects. ; Couples -- Psychology. ; Interpersonal relations.</t>
  </si>
  <si>
    <t>Handbook of Food Safety Engineering</t>
  </si>
  <si>
    <t>Sun, Da-Wen;Sun, Da-Wen</t>
  </si>
  <si>
    <t>TX546 -- .H36 2012eb</t>
  </si>
  <si>
    <t>363.19/26</t>
  </si>
  <si>
    <t>Food -- Safety measures. ; Food -- Microbiology. ; Food industry and trade -- Sanitation.</t>
  </si>
  <si>
    <t>Memoir : An Introduction</t>
  </si>
  <si>
    <t>Couser, G. Thomas</t>
  </si>
  <si>
    <t>History; Literature</t>
  </si>
  <si>
    <t>CT25 -- .C695 2012eb</t>
  </si>
  <si>
    <t>808/.06692</t>
  </si>
  <si>
    <t>Autobiography -- Authorship.</t>
  </si>
  <si>
    <t>Oxford American Handbook of Hospice and Palliative Medicine</t>
  </si>
  <si>
    <t>Yennurajalingam, Sriram;Bruera, Eduardo</t>
  </si>
  <si>
    <t>Social Science; Health; Medicine</t>
  </si>
  <si>
    <t>R726.8 -- .O94 2011eb</t>
  </si>
  <si>
    <t>362.17/56</t>
  </si>
  <si>
    <t>Palliative treatment -- Handbooks, manuals, etc. ; Hospice care -- Handbooks, manuals, etc. ; Hospices (Terminal care) -- Handbooks, manuals, etc.</t>
  </si>
  <si>
    <t>Understanding Social Networks : Theories, Concepts, and Findings</t>
  </si>
  <si>
    <t>Kadushin, Charles</t>
  </si>
  <si>
    <t>HM741 -- .K33 2012eb</t>
  </si>
  <si>
    <t>Social networks.</t>
  </si>
  <si>
    <t>The School Psychologist's Survival Guide</t>
  </si>
  <si>
    <t>Branstetter, Rebecca</t>
  </si>
  <si>
    <t>LB3013.6 -- .B74 2012eb</t>
  </si>
  <si>
    <t>School psychologists -- United States -- Handbooks, manuals, etc. ; School psychology -- United States -- Handbooks, manuals, etc.</t>
  </si>
  <si>
    <t>Building Websites All-In-One for Dummies</t>
  </si>
  <si>
    <t>Karlins, David;Sahlin, Doug</t>
  </si>
  <si>
    <t>TK5105.888 -- .S24 2012eb</t>
  </si>
  <si>
    <t>Web site development.</t>
  </si>
  <si>
    <t>A Companion to Moral Anthropology</t>
  </si>
  <si>
    <t>Fassin, Didier</t>
  </si>
  <si>
    <t>GN27 -- .C647 2012eb</t>
  </si>
  <si>
    <t>Anthropology -- Moral and ethical aspects -- Handbooks, manuals, etc.</t>
  </si>
  <si>
    <t>Writing Science : How to Write Papers That Get Cited and Proposals That Get Funded</t>
  </si>
  <si>
    <t>Schimel, Joshua</t>
  </si>
  <si>
    <t>Engineering; Literature; Engineering: General</t>
  </si>
  <si>
    <t>T11 .S35 2012</t>
  </si>
  <si>
    <t>808.06/65</t>
  </si>
  <si>
    <t>Technical writing. ; Proposal writing for grants.</t>
  </si>
  <si>
    <t>Neurocritical Care</t>
  </si>
  <si>
    <t>Oxford University Press</t>
  </si>
  <si>
    <t>What Do I Do Now</t>
  </si>
  <si>
    <t>Wijdicks, Eelco F.M.;Rabinstein, Alejandro A.</t>
  </si>
  <si>
    <t>RC350.N49 -- W5497 2012eb</t>
  </si>
  <si>
    <t>Neurological intensive care. ; Neurological emergencies.</t>
  </si>
  <si>
    <t>Neuroimmunology</t>
  </si>
  <si>
    <t>Miller, Aaron E.;DeAngelis, Tracy M.</t>
  </si>
  <si>
    <t>QP356.47</t>
  </si>
  <si>
    <t>616.97/8</t>
  </si>
  <si>
    <t>Neuroimmunology. ; Nervous system -- Diseases -- Immunological aspects.</t>
  </si>
  <si>
    <t>Encyclopedia of Demons in World Religions and Cultures</t>
  </si>
  <si>
    <t>Philosophy; Religion</t>
  </si>
  <si>
    <t>BL480 .B364 2012</t>
  </si>
  <si>
    <t>133.4/203</t>
  </si>
  <si>
    <t>Weorterbuch</t>
  </si>
  <si>
    <t>Encyclopedia of Alzheimer's Disease</t>
  </si>
  <si>
    <t>Moore, Elaine A.;Moore, Lisa</t>
  </si>
  <si>
    <t>RC523</t>
  </si>
  <si>
    <t>616.8/31003</t>
  </si>
  <si>
    <t>Alzheimer Disease - English</t>
  </si>
  <si>
    <t>Polymers in Industry from a to Z : A Concise Encyclopedia</t>
  </si>
  <si>
    <t>Wiley-VCH</t>
  </si>
  <si>
    <t>Mascia, Leno</t>
  </si>
  <si>
    <t>Engineering; Engineering: Chemical</t>
  </si>
  <si>
    <t>TP1087 -- .M37 2012eb</t>
  </si>
  <si>
    <t>Polymers -- Encyclopedias. ; Polymers -- Industrial applications -- Encyclopedias. ; Polymers industry -- Encyclopedias. ; Plastics industry and trade -- Encyclopedias.</t>
  </si>
  <si>
    <t>America's Death Penalty : Between Past and Present</t>
  </si>
  <si>
    <t>New York University Press</t>
  </si>
  <si>
    <t>Garland, David;McGowen, Randall;Meranze, Michael</t>
  </si>
  <si>
    <t>Lotions, Potions, Pills, and Magic : Health Care in Early America</t>
  </si>
  <si>
    <t>Breslaw, Elaine G.</t>
  </si>
  <si>
    <t>R152.B725 2012</t>
  </si>
  <si>
    <t>Public health - United States - History - 18th century</t>
  </si>
  <si>
    <t>The Study of Children in Religions : A Methods Handbook</t>
  </si>
  <si>
    <t>Ridgely, Susan B.</t>
  </si>
  <si>
    <t>BL625.5.S78 2011</t>
  </si>
  <si>
    <t>Children - Religious life</t>
  </si>
  <si>
    <t>Places of Encounter, Volume 1 : Time, Place, and Connectivity in World History, Volume One: To 1600</t>
  </si>
  <si>
    <t>MacKinnon, Aran;MacKinnon, Elaine McClarnand</t>
  </si>
  <si>
    <t>D21.3 -- .P56 2012eb</t>
  </si>
  <si>
    <t>World history. ; World history -- Sources. ; Cities and towns -- History. ; Cities and towns -- History -- Sources. ; Social change -- History. ; Social change -- History -- Sources. ; Cultural relations -- History.</t>
  </si>
  <si>
    <t>The Wiley-Blackwell Companion to African Religions</t>
  </si>
  <si>
    <t>Bongmba, Elias Kifon</t>
  </si>
  <si>
    <t>BL2400 -- .W49 2012eb</t>
  </si>
  <si>
    <t>Africa -- Religion.</t>
  </si>
  <si>
    <t>The Wiley-Blackwell Companion to Religion and Social Justice</t>
  </si>
  <si>
    <t>Palmer, Michael D.;Burgess, Stanley M.</t>
  </si>
  <si>
    <t>BL65.J87 -- W55 2012eb</t>
  </si>
  <si>
    <t>Social justice -- Religious aspects.</t>
  </si>
  <si>
    <t>A Companion to Chinese Cinema</t>
  </si>
  <si>
    <t>Wiley Blackwell Companions to National Cinemas Ser.</t>
  </si>
  <si>
    <t>Zhang, Yingjin</t>
  </si>
  <si>
    <t>PN1993.5.C4 -- C66 2012eb</t>
  </si>
  <si>
    <t>Motion pictures -- China -- History -- 20th century. ; Motion pictures -- China -- History -- 21st century.</t>
  </si>
  <si>
    <t>The ESL / ELL Teacher's Survival Guide : Ready-To-Use Strategies, Tools, and Activities for Teaching English Language Learners of All Levels</t>
  </si>
  <si>
    <t>Ferlazzo, Larry;Sypnieski, Katie Hull</t>
  </si>
  <si>
    <t>PE1128.A2F455 2012</t>
  </si>
  <si>
    <t>English language -- Study and teaching -- Foreign speakers.</t>
  </si>
  <si>
    <t>Symbolism : A Comprehensive Dictionary</t>
  </si>
  <si>
    <t>Olderr, Steven</t>
  </si>
  <si>
    <t>History; General Works/Reference</t>
  </si>
  <si>
    <t>CB475</t>
  </si>
  <si>
    <t>Symbolism -- Dictionaries. ; Symbolism.</t>
  </si>
  <si>
    <t>Oxford American Handbook of Endocrinology and Diabetes</t>
  </si>
  <si>
    <t>Draznin, Boris;Epstein, Sol</t>
  </si>
  <si>
    <t>RC649 .O94 2011</t>
  </si>
  <si>
    <t>Endocrinology -- Handbooks, manuals, etc. ; Diabetes -- Handbooks, manuals, etc.</t>
  </si>
  <si>
    <t>Overfishing : What Everyone Needs to Know®</t>
  </si>
  <si>
    <t>Hilborn, Ray;Hilborn, Ulrike</t>
  </si>
  <si>
    <t>Business/Management; Economics; Agriculture</t>
  </si>
  <si>
    <t>SH329.O94 -- H55 2012eb</t>
  </si>
  <si>
    <t>Overfishing. ; Sustainable fisheries. ; Fisheries -- Environmental aspects.</t>
  </si>
  <si>
    <t>Turkey : What Everyone Needs to Know®</t>
  </si>
  <si>
    <t>Finkel, Andrew</t>
  </si>
  <si>
    <t>DR440 -- .F56 2012eb</t>
  </si>
  <si>
    <t>Health status indicators -- United States -- States. ; Medical care -- United States -- States -- Statistics. ; United States -- Statistics, Medical.</t>
  </si>
  <si>
    <t>Arab Uprisings : What Everyone Needs to Know</t>
  </si>
  <si>
    <t>Oxford University Press, USA</t>
  </si>
  <si>
    <t>What Everyone Needs to Know</t>
  </si>
  <si>
    <t>Gelvin, James L.</t>
  </si>
  <si>
    <t>History; Political Science</t>
  </si>
  <si>
    <t>JQ1850.A91 -- G37 2012eb</t>
  </si>
  <si>
    <t>956.05/4</t>
  </si>
  <si>
    <t>Protest movements -- Arab countries -- History -- 21st century. ; Protest movements -- Middle East -- History -- 21st century. ; Protest movements -- Middle East. ; Arab countries -- Politics and government -- 21st century. ; Middle East -- Politics and government -- 21st century.</t>
  </si>
  <si>
    <t>Just Enough Physiology</t>
  </si>
  <si>
    <t>Mayo Clinic Scientific Press Ser.</t>
  </si>
  <si>
    <t>Munis, James R.</t>
  </si>
  <si>
    <t>QP38 -- .M86 2012eb</t>
  </si>
  <si>
    <t>Physiology. ; Biology.</t>
  </si>
  <si>
    <t>Sudan, South Sudan, and Darfur : What Everyone Needs to Know®</t>
  </si>
  <si>
    <t>Natsios, Andrew S.</t>
  </si>
  <si>
    <t>DT157.66 -- .N37 2012eb</t>
  </si>
  <si>
    <t>Sudan -- History -- 1956- ; Sudan -- Politics and government. ; Darfur (Sudan) -- History. ; South Sudan -- History. ; Sudan -- Race relations.</t>
  </si>
  <si>
    <t>Convex Functions : Constructions, Characterizations and Counterexamples</t>
  </si>
  <si>
    <t>Encyclopedia of Mathematics and Its Applications Ser.</t>
  </si>
  <si>
    <t>Borwein, Jonathan M.;Vanderwerff, Jon D.</t>
  </si>
  <si>
    <t>QA331.5 -- .B655 2010eb</t>
  </si>
  <si>
    <t>Convex functions</t>
  </si>
  <si>
    <t>The Principal's Guide to Instructional Improvement : Theory to Practice</t>
  </si>
  <si>
    <t>R&amp;L Education</t>
  </si>
  <si>
    <t>Krajewski, Robert</t>
  </si>
  <si>
    <t>LB1731 -- .K69 2012eb</t>
  </si>
  <si>
    <t>Teachers - In-service training</t>
  </si>
  <si>
    <t>Handbook of Psychology, History of Psychology</t>
  </si>
  <si>
    <t>Freedheim, Donald K.;Weiner, Irving B.;Freedheim, Donald K.</t>
  </si>
  <si>
    <t>BF81 -- .H57 2013eb</t>
  </si>
  <si>
    <t>Psychology -- History.</t>
  </si>
  <si>
    <t>Handbook of Psychology, Clinical Psychology</t>
  </si>
  <si>
    <t>Weiner, Irving B.;Stricker, George;Widiger, Thomas A.;Weiner, Irving</t>
  </si>
  <si>
    <t>RC467 -- .C55 2013eb</t>
  </si>
  <si>
    <t>Clinical psychology.</t>
  </si>
  <si>
    <t>The Rank and File of 19th Century Major League Baseball : Biographies of 1,081 Players, Owners, Managers and Umpires</t>
  </si>
  <si>
    <t>Nemec, David</t>
  </si>
  <si>
    <t>GV865.A1 -- N39 2012eb</t>
  </si>
  <si>
    <t>796.3570922 B</t>
  </si>
  <si>
    <t>Baseball umpires - United States</t>
  </si>
  <si>
    <t>Historical Dictionary of Asian American Literature and Theater</t>
  </si>
  <si>
    <t>Scarecrow Press</t>
  </si>
  <si>
    <t>Historical Dictionaries of Literature and the Arts</t>
  </si>
  <si>
    <t>Xu, Wenying</t>
  </si>
  <si>
    <t>PS153.A84 -- X83 2012eb</t>
  </si>
  <si>
    <t>American literature - Asian American authors - Bio-bibliography</t>
  </si>
  <si>
    <t>The Columbia Guide to Central African Literature in English Since 1945</t>
  </si>
  <si>
    <t>Columbia University Press</t>
  </si>
  <si>
    <t>The Columbia Guides to Literature Since 1945</t>
  </si>
  <si>
    <t>Roscoe, Adrian</t>
  </si>
  <si>
    <t>PR9390.5 -- .R59 2008eb</t>
  </si>
  <si>
    <t>Zimbabwean literature (English) -- History and criticism -- Handbooks, manuals, etc. ; Malawi literature (English) -- History and criticism -- Handbooks, manuals, etc. ; Zambian literature (English) -- History and criticism -- Handbooks, manuals, etc. ; Africa, Central -- Intellectual life.</t>
  </si>
  <si>
    <t>Medical Management of Eating Disorders : A Practical Handbook for Healthcare Professionals</t>
  </si>
  <si>
    <t>Birmingham, C. Laird;Treasure, Janet</t>
  </si>
  <si>
    <t>RC552.E18 -- B515 2010eb</t>
  </si>
  <si>
    <t>Eating disorders - Complications</t>
  </si>
  <si>
    <t>3-D A-to-Z : An Encyclopedic Dictionary</t>
  </si>
  <si>
    <t>Engineering: Civil; Engineering: Electrical; Engineering</t>
  </si>
  <si>
    <t>TA1637 -- .K76 2012eb</t>
  </si>
  <si>
    <t>Image processing -- Dictionaries. ; Three-dimensional imaging -- Dictionaries. ; Three-dimensional display systems -- Dictionaries. ; 3-D films -- Dictionaries.</t>
  </si>
  <si>
    <t>Handbook of Psychology, Forensic Psychology</t>
  </si>
  <si>
    <t>Weiner, Irving B.;Otto, Randy K.;Weiner, Irving;Otto, Randy K.</t>
  </si>
  <si>
    <t>Psychology; Medicine; Health</t>
  </si>
  <si>
    <t>BF121 -- .H36 2013eb</t>
  </si>
  <si>
    <t>Forensic psychology.</t>
  </si>
  <si>
    <t>Handbook of Psychology, Educational Psychology</t>
  </si>
  <si>
    <t>Weiner, Irving B.;Reynolds, William M.;Miller, Gloria E.;Weiner, Irving</t>
  </si>
  <si>
    <t>LB1051 -- .E38 2013eb</t>
  </si>
  <si>
    <t>Educational psychology.</t>
  </si>
  <si>
    <t>Handbook of Psychology, Assessment Psychology : Assessment Psychology</t>
  </si>
  <si>
    <t>Weiner, Irving B.;Graham, John R.;Naglieri, Jack A.;Weiner, Irving</t>
  </si>
  <si>
    <t>RC469 -- .H36 2012eb</t>
  </si>
  <si>
    <t>Psychology. ; Behavioral assessment.</t>
  </si>
  <si>
    <t>Handbook of New Religions and Cultural Production : Handbook of New Religions and Cultural Production</t>
  </si>
  <si>
    <t>Brill Handbooks on Contemporary Religion Ser.</t>
  </si>
  <si>
    <t>Cusack, Carole;Norman, Alex</t>
  </si>
  <si>
    <t>BL65.C8 -- H365 2012eb</t>
  </si>
  <si>
    <t>200.9/04</t>
  </si>
  <si>
    <t>Religion and culture</t>
  </si>
  <si>
    <t>This Day in American History</t>
  </si>
  <si>
    <t>Gross, Ernie;Worth, Roland H., Jr.</t>
  </si>
  <si>
    <t>E174.5 -- .G76 2012eb</t>
  </si>
  <si>
    <t>United States -- History -- Chronology. ; United States -- History -- Miscellanea.</t>
  </si>
  <si>
    <t>Targeted Therapies in Breast Cancer</t>
  </si>
  <si>
    <t>Oxford American Pocket Notes Ser.</t>
  </si>
  <si>
    <t>Burstein, Harold</t>
  </si>
  <si>
    <t>RC280.B8 -- B84 2011eb</t>
  </si>
  <si>
    <t>Breast -- Cancer -- Treatment -- Handbooks, manuals, etc. ; Drug targeting -- Handbooks, manuals, etc.</t>
  </si>
  <si>
    <t>Legal Executions in Nebraska, Kansas and Oklahoma Including the Indian Territory : A Comprehensive History</t>
  </si>
  <si>
    <t>HV8699.U6 -- N27 2012eb</t>
  </si>
  <si>
    <t>Executions and executioners -- Nebraska. ; Capital punishment -- Nebraska -- History. ; Criminal justice, Administration of -- Nebraska -- History. ; Executions and executioners -- Kansas. ; Capital punishment -- Kansas -- History. ; Criminal justice, Administration of -- Kansas -- History. ; Executions and executioners -- Oklahoma.</t>
  </si>
  <si>
    <t>The American Presidents Ranked by Performance, 1789-2012</t>
  </si>
  <si>
    <t>Faber, Charles F.;Faber, Richard B.</t>
  </si>
  <si>
    <t>E176.1 -- .F215 2012eb</t>
  </si>
  <si>
    <t>973.09/9</t>
  </si>
  <si>
    <t>Presidents -- Rating of -- United States. ; Presidents -- United States -- History. ; Presidents -- United States -- Biography. ; Political leadership -- United States. ; United States -- Politics and government.</t>
  </si>
  <si>
    <t>The Genealogist's Internet : The Essential Guide to Researching Your Family History Online</t>
  </si>
  <si>
    <t>Bloomsbury Publishing Plc</t>
  </si>
  <si>
    <t>A&amp;C Black Business Information and Development</t>
  </si>
  <si>
    <t>Christian, Peter</t>
  </si>
  <si>
    <t>CS21 -- .C475 2012eb</t>
  </si>
  <si>
    <t>Genealogy -- Computer network resources. ; Great Britain -- Genealogy -- Computer network resources.</t>
  </si>
  <si>
    <t>RSMeans Illustrated Construction Dictionary</t>
  </si>
  <si>
    <t>R. S. Means Company, Incorporated</t>
  </si>
  <si>
    <t>RSMeans Ser.</t>
  </si>
  <si>
    <t xml:space="preserve">RSMeans;Means Engineering Staff, </t>
  </si>
  <si>
    <t>Engineering: Civil; Engineering; Engineering: Construction</t>
  </si>
  <si>
    <t>TH9 -- .R76 2012eb</t>
  </si>
  <si>
    <t>624/.03</t>
  </si>
  <si>
    <t>Building -- Dictionaries. ; Construction industry -- Dictionaries.</t>
  </si>
  <si>
    <t>How Washington Actually Works for Dummies</t>
  </si>
  <si>
    <t xml:space="preserve">Rushford, Greg;Rushford, Greg </t>
  </si>
  <si>
    <t>JK1726 -- .H69 2012eb</t>
  </si>
  <si>
    <t>Politics, Practical -- United States -- Popular works. ; United States -- Politics and government -- Popular works.</t>
  </si>
  <si>
    <t>Audit and Assurance Essentials : For Professional Accountancy Exams</t>
  </si>
  <si>
    <t>Bagshaw, Katharine</t>
  </si>
  <si>
    <t>HF5667 -- .B2323 2013eb</t>
  </si>
  <si>
    <t>Auditing</t>
  </si>
  <si>
    <t>Historical Dictionary of the Beat Movement</t>
  </si>
  <si>
    <t>Varner, Paul</t>
  </si>
  <si>
    <t>PS228.B6 -- V37 2012eb</t>
  </si>
  <si>
    <t>LITERARY CRITICISM / American / African American</t>
  </si>
  <si>
    <t>Depression</t>
  </si>
  <si>
    <t>The Facts Ser.</t>
  </si>
  <si>
    <t>Wasserman, Danuta</t>
  </si>
  <si>
    <t>RC537 -- .W287 2011eb</t>
  </si>
  <si>
    <t>Depression, Mental. ; Mental health -- Popular works.</t>
  </si>
  <si>
    <t>American Literature on Stage and Screen : 525 Works and Their Adaptations</t>
  </si>
  <si>
    <t>Hischak, Thomas S.</t>
  </si>
  <si>
    <t>PN1997.85 -- .H48 2012eb</t>
  </si>
  <si>
    <t>American fiction - Film adaptations</t>
  </si>
  <si>
    <t>A Companion to World History</t>
  </si>
  <si>
    <t>Northrop, Douglas</t>
  </si>
  <si>
    <t>D13 -- .C628 2012eb</t>
  </si>
  <si>
    <t>History -- Methodology. ; History -- Study and teaching. ; Historiography.</t>
  </si>
  <si>
    <t>NFL Head Coaches : A Biographical Dictionary, 1920-2011</t>
  </si>
  <si>
    <t>Maxymuk, John</t>
  </si>
  <si>
    <t>GV939.A1 -- M39 2012eb</t>
  </si>
  <si>
    <t>796.3320922 B</t>
  </si>
  <si>
    <t>Football coaches -- United States -- Biography -- Dictionaries. ; Coaches (Athletics) -- United States -- Biography.</t>
  </si>
  <si>
    <t>Encyclopedia of Identity</t>
  </si>
  <si>
    <t>SAGE Publications, Incorporated</t>
  </si>
  <si>
    <t>Jackson, Ronald L., II</t>
  </si>
  <si>
    <t>Psychology; Social Science</t>
  </si>
  <si>
    <t>BF697</t>
  </si>
  <si>
    <t>Identity (Philosophical concept) ; Identity (Psychology) ; Group identity.</t>
  </si>
  <si>
    <t>Encyclopedia of Group Processes and Intergroup Relations</t>
  </si>
  <si>
    <t>Levine, John M.;Hogg, Michael</t>
  </si>
  <si>
    <t>HM716 .E53 2010</t>
  </si>
  <si>
    <t>Social groups -- Encyclopedias. ; Intergroup relations -- Encyclopedias.</t>
  </si>
  <si>
    <t>Encyclopedia of Health and Aging</t>
  </si>
  <si>
    <t>Markides, Kyriakos S.</t>
  </si>
  <si>
    <t>RA777.6 .E534 2007</t>
  </si>
  <si>
    <t>613/.043803</t>
  </si>
  <si>
    <t>Older people -- Health and hygiene -- Encyclopedias. ; Aging -- Encyclopedias.</t>
  </si>
  <si>
    <t>Encyclopedia of Death and the Human Experience</t>
  </si>
  <si>
    <t>Bryant, Clifton D.;Peck, Dennis L.</t>
  </si>
  <si>
    <t>HQ1073 .E544 2009</t>
  </si>
  <si>
    <t>Death</t>
  </si>
  <si>
    <t>Encyclopedia of Drug Policy</t>
  </si>
  <si>
    <t>Kleiman, Mark A. R.;Hawdon, James E.</t>
  </si>
  <si>
    <t>HV5825 -- .E494 2011eb</t>
  </si>
  <si>
    <t>363.450973/03</t>
  </si>
  <si>
    <t>Drug abuse -- Government policy -- United States -- Encyclopedias. ; Drug control -- United States -- Encyclopedias.</t>
  </si>
  <si>
    <t>Encyclopedia of Social Networks</t>
  </si>
  <si>
    <t>Barnett, George A.</t>
  </si>
  <si>
    <t>HM741 -- .E53 2011eb</t>
  </si>
  <si>
    <t>Social networks -- Encyclopedias. ; Online social networks.</t>
  </si>
  <si>
    <t>Encyclopedia of Education Law</t>
  </si>
  <si>
    <t>Russo, Charles</t>
  </si>
  <si>
    <t>KF4117 .E53 2008</t>
  </si>
  <si>
    <t>344.73/0703</t>
  </si>
  <si>
    <t>Educational law and legislation -- United States -- Encyclopedias. ; Educational law and legislation -- United States -- Cases. ; Educational law and legislation -- United States -- History. ; Education -- United States -- Encyclopedias.</t>
  </si>
  <si>
    <t>Encyclopedia of Social Movement Media</t>
  </si>
  <si>
    <t>Downing, John D. H.</t>
  </si>
  <si>
    <t>P96.A44 -- E53 2011eb</t>
  </si>
  <si>
    <t>Alternative mass media -- History -- 20th century -- Encyclopedias. ; Alternative mass media -- History -- 21st century -- Encyclopedias. ; Mass media -- Social aspects -- History -- 20th century -- Encyclopedias. ; Mass media -- Social aspects -- History -- 21st century -- Encyclopedias. ; Mass media -- Political aspects -- History -- 20th century -- Encyclopedias. ; Mass media -- Political aspects -- History -- 21st century -- Encyclopedias. ; Social movements -- History -- 20th century -- Encyclopedias.</t>
  </si>
  <si>
    <t>Encyclopedia of Victimology and Crime Prevention</t>
  </si>
  <si>
    <t xml:space="preserve">Fisher, Bonnie S. (Sue);Lab, Steven P.;Lab, Steven P. </t>
  </si>
  <si>
    <t>HV6250.3.U5 E55 2010</t>
  </si>
  <si>
    <t>362.880973/03</t>
  </si>
  <si>
    <t>Victims of crimes -- United States -- Encyclopedias. ; Crime prevention -- United States -- Encyclopedias. ; Victims of crimes -- Encyclopedias. ; Crime prevention -- Encyclopedias.</t>
  </si>
  <si>
    <t>The SAGE Encyclopedia of Terrorism, Second Edition</t>
  </si>
  <si>
    <t>Martin, Gus</t>
  </si>
  <si>
    <t>HV6431 -- .K883 2011eb</t>
  </si>
  <si>
    <t>Terrorism -- Encyclopedias. ; Terrorism -- United States -- Encyclopedias.</t>
  </si>
  <si>
    <t>Encyclopedia of Science and Technology Communication</t>
  </si>
  <si>
    <t>Priest, Susanna Horning</t>
  </si>
  <si>
    <t>Science; Science: General</t>
  </si>
  <si>
    <t>Q225.2.U6 E53 2010</t>
  </si>
  <si>
    <t>Science news -- United States. ; Communication in science -- United States. ; Communication of technical information -- United States. ; Science and state -- United States.</t>
  </si>
  <si>
    <t>Encyclopedia of Global Religion</t>
  </si>
  <si>
    <t xml:space="preserve">Juergensmeyer, Mark;Roof, Wade Clark;Hammond, Phillip E. </t>
  </si>
  <si>
    <t>BL80.3 -- .E52 2012eb</t>
  </si>
  <si>
    <t>Religions -- Encyclopedias. ; Religious life.</t>
  </si>
  <si>
    <t>Encyclopedia of Educational Reform and Dissent</t>
  </si>
  <si>
    <t>Hunt, Thomas C. (Caspar);Carper, James C.;Lasley, II, Thomas J.;Raisch, C. (Chad) Daniel</t>
  </si>
  <si>
    <t>LB2805 .E528 2010</t>
  </si>
  <si>
    <t>Educational change -- United States -- Encyclopedias. ; Critical pedagogy -- United States -- Encyclopedias.</t>
  </si>
  <si>
    <t>Encyclopedia of Substance Abuse Prevention, Treatment, and Recovery</t>
  </si>
  <si>
    <t>Fisher, Gary L.;Roget, Nancy A.</t>
  </si>
  <si>
    <t>Health; Psychology; Medicine; Social Science</t>
  </si>
  <si>
    <t>RC563.4 .E53 2009</t>
  </si>
  <si>
    <t>Substance abuse -- Encyclopedias. ; Medicine.</t>
  </si>
  <si>
    <t>Encyclopedia of Criminological Theory</t>
  </si>
  <si>
    <t>Cullen, Francis T.;Wilcox, Pamela K.</t>
  </si>
  <si>
    <t>HV6017 -- .E527 2010eb</t>
  </si>
  <si>
    <t>Criminology -- Encyclopedias. ; Public welfare.</t>
  </si>
  <si>
    <t>Encyclopedia of Law Enforcement</t>
  </si>
  <si>
    <t>Sullivan, Larry E.;Rosen, Marie Simonetti;Schulz, Dorothy Moses;Haberfeld, Maria (Maki)</t>
  </si>
  <si>
    <t>HV7921.E53</t>
  </si>
  <si>
    <t>363.2/0973/03</t>
  </si>
  <si>
    <t>Law enforcement -- Encyclopedias. ; Criminal justice, Administration of -- Encyclopedias.</t>
  </si>
  <si>
    <t>Encyclopedia of Power</t>
  </si>
  <si>
    <t>Dowding, Keith</t>
  </si>
  <si>
    <t>HN49.P6 -- E53 2011eb</t>
  </si>
  <si>
    <t>Power (Social sciences) -- Encyclopedias. ; Social sciences -- Encyclopedias.</t>
  </si>
  <si>
    <t>Encyclopedia of Gender and Society</t>
  </si>
  <si>
    <t>OBrien, Jodi</t>
  </si>
  <si>
    <t>HQ1115 .E54 2009</t>
  </si>
  <si>
    <t>305.309/04503</t>
  </si>
  <si>
    <t>Women -- Encyclopedias. ; Men -- Encyclopedias. ; Social history -- 1970- -- Encyclopedias.</t>
  </si>
  <si>
    <t>Encyclopedia of Social Theory</t>
  </si>
  <si>
    <t>HM425.E47</t>
  </si>
  <si>
    <t>301/.01</t>
  </si>
  <si>
    <t>Sociology -- Encyclopedias. ; Sociology -- Philosophy -- Encyclopedias.</t>
  </si>
  <si>
    <t>Encyclopedia of Political Communication</t>
  </si>
  <si>
    <t>Kaid, Lynda Lee died April 13, 2011;Holtz-Bacha, Christina</t>
  </si>
  <si>
    <t>JA85 .E64 2008</t>
  </si>
  <si>
    <t>320.01/4</t>
  </si>
  <si>
    <t>Communication in politics -- Encyclopedias.</t>
  </si>
  <si>
    <t>SAGE Brief Guide to Business Ethics</t>
  </si>
  <si>
    <t>Publishing, Sage</t>
  </si>
  <si>
    <t>Business/Management; Philosophy</t>
  </si>
  <si>
    <t>HF5387 -- .S236 2012eb</t>
  </si>
  <si>
    <t>Business ethics</t>
  </si>
  <si>
    <t>Encyclopedia of Political Theory</t>
  </si>
  <si>
    <t>Bevir, Mark</t>
  </si>
  <si>
    <t>JA61 .E515 2010</t>
  </si>
  <si>
    <t>Political science -- Encyclopedias. ; Political science -- Philosophy -- Encyclopedias.</t>
  </si>
  <si>
    <t>The War of 1812 : A Complete Chronology with Biographies of 63 General Officers</t>
  </si>
  <si>
    <t>E355 -- .H36 2012eb</t>
  </si>
  <si>
    <t>973.5/2</t>
  </si>
  <si>
    <t>Generals -- United States -- Biography. ; United States -- History -- War of 1812 -- Biography. ; United States -- History -- War of 1812 -- Chronology. ; United States -- History -- War of 1812 -- Sources.</t>
  </si>
  <si>
    <t>The Musical Instrument Desk Reference : A Guide to How Band and Orchestral Instruments Work</t>
  </si>
  <si>
    <t>Pagliaro, Michael J.</t>
  </si>
  <si>
    <t>ML460 -- .P313 2012eb</t>
  </si>
  <si>
    <t>Bowed stringed instruments - Construction</t>
  </si>
  <si>
    <t>Energy : What Everyone Needs to Know®</t>
  </si>
  <si>
    <t>Goldemberg, Jose</t>
  </si>
  <si>
    <t>Engineering: Mechanical; Engineering; Economics; Environmental Studies</t>
  </si>
  <si>
    <t>TJ163.3 -- .G65 2012eb</t>
  </si>
  <si>
    <t>Energy conservation. ; Energy consumption. ; Energy development. ; Energy industries. ; Power resources.</t>
  </si>
  <si>
    <t>A Companion to Women's Military History</t>
  </si>
  <si>
    <t>History of Warfare Ser.</t>
  </si>
  <si>
    <t>Hacker, Barton;Vining, Margaret</t>
  </si>
  <si>
    <t>U21.75.C66 2012</t>
  </si>
  <si>
    <t>Historical Dictionary of Jazz</t>
  </si>
  <si>
    <t>Davis, John S.</t>
  </si>
  <si>
    <t>ML102.J3 -- D38 2012eb</t>
  </si>
  <si>
    <t>Jazz</t>
  </si>
  <si>
    <t>Wall Street : A History, Updated Edition</t>
  </si>
  <si>
    <t>Geisst, Charles R.</t>
  </si>
  <si>
    <t>HG4572.G4 2012eb</t>
  </si>
  <si>
    <t>332.64/273</t>
  </si>
  <si>
    <t>New York Stock Exchange. ; Securities industry -- United States -- History. ; Stockbrokers -- United States. ; Wall Street (New York, N.Y.) -- History.</t>
  </si>
  <si>
    <t>The Silk Road : A New History</t>
  </si>
  <si>
    <t>Hansen, Valerie</t>
  </si>
  <si>
    <t>DS33.1 -- .H36 2012eb</t>
  </si>
  <si>
    <t>Historic sites -- Silk Road. ; Trade routes -- Asia, Central -- History. ; Trade routes -- Asia -- History. ; Silk Road -- History. ; Silk Road -- History -- Sources. ; Silk Road -- Description and travel. ; Silk Road -- History, Local.</t>
  </si>
  <si>
    <t>Encyclopedia of Curriculum Studies</t>
  </si>
  <si>
    <t>Kridel, Craig</t>
  </si>
  <si>
    <t>LB2806.15 .E48 2010</t>
  </si>
  <si>
    <t>Curriculum planning -- Encyclopedias. ; Education.</t>
  </si>
  <si>
    <t>Encyclopedia of Family Health</t>
  </si>
  <si>
    <t>Craft-Rosenberg, Martha;Pehler, Shelley-Rae</t>
  </si>
  <si>
    <t>RA418.5.F3 -- E45 2011eb</t>
  </si>
  <si>
    <t>Family medicine -- Encyclopedias. ; Families -- Health and hygiene -- Encyclopedias.</t>
  </si>
  <si>
    <t>The Wiley-Blackwell Companion to Christian Mysticism</t>
  </si>
  <si>
    <t>Lamm, Julia A.</t>
  </si>
  <si>
    <t>BV5082.3 -- .W55 2013eb</t>
  </si>
  <si>
    <t>Mysticism.</t>
  </si>
  <si>
    <t>Quotations for All Occasions</t>
  </si>
  <si>
    <t>Frank, Catherine</t>
  </si>
  <si>
    <t>General Works/Reference; Literature</t>
  </si>
  <si>
    <t>PN6081</t>
  </si>
  <si>
    <t>Quotations, American</t>
  </si>
  <si>
    <t>Essential Ethnographic Methods : A Mixed Methods Approach</t>
  </si>
  <si>
    <t>AltaMira Press</t>
  </si>
  <si>
    <t>Ethnographer's Toolkit, Second Edition</t>
  </si>
  <si>
    <t>Schensul, Jean J.;LeCompte, Margaret D.</t>
  </si>
  <si>
    <t>GN345 -- .S3619 2013eb</t>
  </si>
  <si>
    <t>Ethnology - Research</t>
  </si>
  <si>
    <t>The Palgrave Handbook of Gender and Healthcare</t>
  </si>
  <si>
    <t>Kuhlmann, E.;Annandale, E.</t>
  </si>
  <si>
    <t>RA418-418.5</t>
  </si>
  <si>
    <t>Medical care -- Sex differences. ; Health -- Sex differences. ; Social medicine. ; Discrimination in medical care.</t>
  </si>
  <si>
    <t>The Palgrave Handbook of Spirituality and Business</t>
  </si>
  <si>
    <t>Bouckaert, L.;Zsolnai, L.</t>
  </si>
  <si>
    <t>Business/Management; Religion</t>
  </si>
  <si>
    <t>HD58.8</t>
  </si>
  <si>
    <t>201/.73</t>
  </si>
  <si>
    <t>Behavioral economics</t>
  </si>
  <si>
    <t>Handbook of Prosocial Education</t>
  </si>
  <si>
    <t>Rowman &amp; Littlefield Publishers</t>
  </si>
  <si>
    <t>Brown, Philip M.;Corrigan, Michael W.;Higgins-D'Alessandro, Ann</t>
  </si>
  <si>
    <t>LB1072 -- .H36 2012eb</t>
  </si>
  <si>
    <t>REFERENCE / Handbooks &amp; Manuals</t>
  </si>
  <si>
    <t>Handbook of Participatory Video</t>
  </si>
  <si>
    <t>Milne, E-J, Ph.D;Mitchell, Claudia;de Lange, Naydene</t>
  </si>
  <si>
    <t>GN347 -- .H36 2012eb</t>
  </si>
  <si>
    <t>Video recording in ethnology</t>
  </si>
  <si>
    <t>The Cambridge Introduction to Samuel Taylor Coleridge</t>
  </si>
  <si>
    <t>Worthen, John</t>
  </si>
  <si>
    <t>PR4484 .W67 2010</t>
  </si>
  <si>
    <t>Coleridge, Samuel Taylor, -- 1772-1834. ; Coleridge, Samuel Taylor, -- 1772-1834 -- Criticism and interpretation.</t>
  </si>
  <si>
    <t>The Cambridge Introduction to Thomas Mann</t>
  </si>
  <si>
    <t>Kontje, Todd</t>
  </si>
  <si>
    <t>PT2625.A44 Z73244 2011</t>
  </si>
  <si>
    <t>Mann, Thomas, -- 1875-1955 -- Criticism and interpretation.</t>
  </si>
  <si>
    <t>The Cambridge Introduction to Charles Dickens</t>
  </si>
  <si>
    <t>Mee, Jon</t>
  </si>
  <si>
    <t>PR4588 .M44 2010</t>
  </si>
  <si>
    <t>823/.8</t>
  </si>
  <si>
    <t>Dickens, Charles, -- 1812-1870 -- Criticism and interpretation. ; Dickens, Charles, -- 1812-1870 -- Literary style. ; Dickens, Charles, -- 1812-1870 -- Knowledge -- London (England) ; Dickens, Charles, -- 1812-1870 -- Political and social views. ; Dickens, Charles, -- 1812-1870 -- Adaptations.</t>
  </si>
  <si>
    <t>A Critical Introduction to Mao</t>
  </si>
  <si>
    <t>Cheek, Timothy</t>
  </si>
  <si>
    <t>DS778.M3 C74 2010</t>
  </si>
  <si>
    <t>Mao, Zedong, -- 1893-1976. ; China -- Politics and government -- 20th century.</t>
  </si>
  <si>
    <t>Health Care Reform and American Politics : What Everyone Needs to Know®, Revised and Updated Edition</t>
  </si>
  <si>
    <t>Jacobs, Lawrence R.;Skocpol, Theda</t>
  </si>
  <si>
    <t>RA395.A3 -- J327 2012eb</t>
  </si>
  <si>
    <t>Health care reform -- United States. ; Medical policy -- United States.</t>
  </si>
  <si>
    <t>The Makeover : Reality Television and Reflexive Audiences</t>
  </si>
  <si>
    <t>Critical Cultural Communication Ser.</t>
  </si>
  <si>
    <t>Sender, Katherine</t>
  </si>
  <si>
    <t>PN1992.8.R43S47 2012</t>
  </si>
  <si>
    <t>791.45/655</t>
  </si>
  <si>
    <t>Makeover television programs - History and criticism</t>
  </si>
  <si>
    <t>20th Century Jewish Religious Thought</t>
  </si>
  <si>
    <t>The Jewish Publication Society</t>
  </si>
  <si>
    <t>Cohen, Arthur A.;Mendes-Flohr, Paul</t>
  </si>
  <si>
    <t>BM50 -- .C64 2009eb</t>
  </si>
  <si>
    <t>Judaism -- Dictionaries.</t>
  </si>
  <si>
    <t>Dictionary of Jewish Words : A JPS Guide</t>
  </si>
  <si>
    <t>A JPS Guide</t>
  </si>
  <si>
    <t>Scolnic, Ellen;Eisenberg, Joyce</t>
  </si>
  <si>
    <t>Religion; Language/Linguistics</t>
  </si>
  <si>
    <t>BM50 -- .E47 2006eb</t>
  </si>
  <si>
    <t>Judaism -- Terminology. ; Hebrew language -- Terms and phrases.</t>
  </si>
  <si>
    <t>Painters of the Renaissance</t>
  </si>
  <si>
    <t>The Renaissance Ser.</t>
  </si>
  <si>
    <t>Kuiper, Kathleen;Britannica Educational Publishing Staff</t>
  </si>
  <si>
    <t>ND170 -- .P35 2012eb</t>
  </si>
  <si>
    <t>Painting, Renaissance. ; Painters -- Europe -- Biography.</t>
  </si>
  <si>
    <t>The Birth of Rock and Roll : Music in the 1950S Through The 1960S</t>
  </si>
  <si>
    <t>Popular Music Through the Decades Ser.</t>
  </si>
  <si>
    <t>ML3534.3 -- .B52 2013eb</t>
  </si>
  <si>
    <t>781.6609;781.6609/045;781.6609045</t>
  </si>
  <si>
    <t>Rock music -- United States -- To 1961 -- History and criticism -- Juvenile literature. ; Rock music -- United States -- 1961-1970 -- History and criticism -- Juvenile literature. ; Rock musicians -- United States -- Biography -- Juvenile literature.</t>
  </si>
  <si>
    <t>The Science of Nutrition</t>
  </si>
  <si>
    <t>Food and Society Ser.</t>
  </si>
  <si>
    <t>Health; Science; Science: Biology/Natural History</t>
  </si>
  <si>
    <t>QP141 -- .S3484 2013eb</t>
  </si>
  <si>
    <t>Nutrition. ; Health.</t>
  </si>
  <si>
    <t>Taxes in America : What Everyone Needs to Know®</t>
  </si>
  <si>
    <t>What Everyone Needs to Know Ser.</t>
  </si>
  <si>
    <t>Burman, Leonard E.;Slemrod, Joel</t>
  </si>
  <si>
    <t>HJ2381 -- .B79 2013eb</t>
  </si>
  <si>
    <t>Taxation -- United States.</t>
  </si>
  <si>
    <t>Antisemitism : A History</t>
  </si>
  <si>
    <t>Lindemann, Albert S.;Levy, Richard S.</t>
  </si>
  <si>
    <t>DS145.A585 2010eb</t>
  </si>
  <si>
    <t>Antisemitism -- History.</t>
  </si>
  <si>
    <t>The Dance of Air and Sea : How Oceans, Weather, and Life Link Together</t>
  </si>
  <si>
    <t>Taylor, Arnold H.</t>
  </si>
  <si>
    <t>GC190.2.T39 2011eb</t>
  </si>
  <si>
    <t>Ocean-atmosphere interaction. ; Climatic changes.</t>
  </si>
  <si>
    <t>Dictionaries. an International Encyclopedia of Lexicography : Supplementary Volume: Recent Developments with Focus on Electronic and Computational Lexicography</t>
  </si>
  <si>
    <t>De Gruyter, Inc.</t>
  </si>
  <si>
    <t>De Gruyter Mouton</t>
  </si>
  <si>
    <t>Handbücher Zur Sprach- und Kommunikationswissenschaft / Handbooks of Linguistics and Communication Science [HSK] Ser.</t>
  </si>
  <si>
    <t>Hausmann, Franz J.;Reichmann, Oskar;Wiegand, Herbert E.;Zgusta, Ladislav;Gouws, Rufus;Heid, Ulrich;Schweickard, Wolfgang;Wiegand, Herbert Ernst</t>
  </si>
  <si>
    <t>Computer Science/IT; Language/Linguistics</t>
  </si>
  <si>
    <t>P327 -- .D53 2013eb</t>
  </si>
  <si>
    <t>Lexicography -- Encyclopedias. ; Encyclopedias and dictionaries -- Encyclopedias.</t>
  </si>
  <si>
    <t>Encyclopedia of English Language Bible Versions</t>
  </si>
  <si>
    <t>Taliaferro, Bradford B.</t>
  </si>
  <si>
    <t>BS455 -- .T35 2013eb</t>
  </si>
  <si>
    <t>Bible. -- English -- Versions -- Encyclopedias. ; Encyclopedias and dictionaries.</t>
  </si>
  <si>
    <t>Lexicon of Environmental Law / les définitions du Droit de L'environnement</t>
  </si>
  <si>
    <t>K3584.6.V53 2012</t>
  </si>
  <si>
    <t>344.04/603</t>
  </si>
  <si>
    <t>A Companion to Roman Imperialism</t>
  </si>
  <si>
    <t>DG270.C65 2013</t>
  </si>
  <si>
    <t>Brill's Companion to Horace</t>
  </si>
  <si>
    <t>Brill's Companions to Classical Studies</t>
  </si>
  <si>
    <t>Günther, Hans-Christian;Gunther, Hans-Christian</t>
  </si>
  <si>
    <t>PA6411 -- .B676 2013eb</t>
  </si>
  <si>
    <t>Horace -- Criticism and interpretation.</t>
  </si>
  <si>
    <t>Dissertation Solutions : A Concise Guide to Planning, Implementing, and Surviving the Dissertation Process</t>
  </si>
  <si>
    <t>Axelrod, Bradley;Windell, James</t>
  </si>
  <si>
    <t>LB2369 -- .A94 2012eb</t>
  </si>
  <si>
    <t>Proposal writing in research</t>
  </si>
  <si>
    <t>Neuro-Ophthalmology</t>
  </si>
  <si>
    <t>Thurtell, Matthew J.;Tomsak, Robert L.;Daroff, Robert B.</t>
  </si>
  <si>
    <t>RE725 -- .T48 2012eb</t>
  </si>
  <si>
    <t>Neuroophthalmology -- Case studies.</t>
  </si>
  <si>
    <t>Handbook Of Climate Change And Agroecosystems: Global And Regional Aspects And Implications â€” Joint Publication With The American Society Of Agronomy : Global and Regional Aspects and Implications - Joint Publication with the American Society of Agronomy</t>
  </si>
  <si>
    <t>Imperial College Press</t>
  </si>
  <si>
    <t>Icp Series On Climate Change Impacts, Adaptation, And Mitigation</t>
  </si>
  <si>
    <t>Hillel, Daniel;Rosenzweig, Cynthia</t>
  </si>
  <si>
    <t>Agriculture; Science: Biology/Natural History; Science</t>
  </si>
  <si>
    <t>S600.7.C54 -- H36 2013eb</t>
  </si>
  <si>
    <t>Crops and climate. ; Climatic changes -- Environmental aspects. ; Agricultural ecology. ; Climate change mitigation.</t>
  </si>
  <si>
    <t>Handbook of the Psychology of Science</t>
  </si>
  <si>
    <t>Feist, Gregory;Gorman, Michael</t>
  </si>
  <si>
    <t>Q175 -- .H2646 2013eb</t>
  </si>
  <si>
    <t>501/.9</t>
  </si>
  <si>
    <t>Industrial engineering -- Congresses. ; Computer simulation -- Congresses. ; Information storage and retrieval systems -- Congresses. ; Software engineering -- Congresses.</t>
  </si>
  <si>
    <t>Making Women's Histories : Beyond National Perspectives</t>
  </si>
  <si>
    <t>Nadell, Pamela S.;Haulman, Kate</t>
  </si>
  <si>
    <t>Geography/Travel; Social Science</t>
  </si>
  <si>
    <t>HQ1122 -- .M345 2013eb</t>
  </si>
  <si>
    <t>Women -- Historiography. ; Sex role -- Historiography. ; World history -- Historiography. ; Historiography -- Social aspects. ; Historiography -- Political aspects. ; Women historians.</t>
  </si>
  <si>
    <t>A Companion to World War II</t>
  </si>
  <si>
    <t>Zeiler, Thomas W.;DuBois, Daniel M.</t>
  </si>
  <si>
    <t>D743 .C557 2012</t>
  </si>
  <si>
    <t>World War, 1939-1945 ; World War, 1939-1945.</t>
  </si>
  <si>
    <t>A Dictionary of Literary Terms and Literary Theory</t>
  </si>
  <si>
    <t>Cuddon, J. A.;Habib, M. A. R.;Birchwood, Matthew;Dines, Martin;Fiske, Shanyn;Velickovic, Vedrana</t>
  </si>
  <si>
    <t>PN41 -- .C83 2013eb</t>
  </si>
  <si>
    <t>Literary form</t>
  </si>
  <si>
    <t>A Companion to Global Environmental History</t>
  </si>
  <si>
    <t>Stewart Mauldin, Erin;McNeill, J. R.;Mauldin, Erin Stewart</t>
  </si>
  <si>
    <t>GF13 -- .C63 2012eb</t>
  </si>
  <si>
    <t>Environmental protection - History</t>
  </si>
  <si>
    <t>Dictionary of DNA and Genome Technology</t>
  </si>
  <si>
    <t>Singleton, Paul</t>
  </si>
  <si>
    <t>Science; Engineering: Chemical; Science: Biology/Natural History; Engineering</t>
  </si>
  <si>
    <t>QH442 -- .S56 2013eb</t>
  </si>
  <si>
    <t>660.6/503</t>
  </si>
  <si>
    <t>Genomics - English</t>
  </si>
  <si>
    <t>A Companion to the Historical Film</t>
  </si>
  <si>
    <t xml:space="preserve">Rosenstone, Robert A.;Parvulescu, Constantin;Rosenstone, Robert A ;Parvulescu, Constantin </t>
  </si>
  <si>
    <t>PN1995.9.H5.R67 2013</t>
  </si>
  <si>
    <t>791.43/658</t>
  </si>
  <si>
    <t>Historical films--History and criticism.</t>
  </si>
  <si>
    <t>The Handbook of English for Specific Purposes</t>
  </si>
  <si>
    <t>Paltridge, Brian;Starfield, Sue</t>
  </si>
  <si>
    <t>LB1576 -- .H2334 2012eb</t>
  </si>
  <si>
    <t>English language -- Study and teaching.</t>
  </si>
  <si>
    <t>Dictionary of Industrial Terms</t>
  </si>
  <si>
    <t>Wiley-Scrivener</t>
  </si>
  <si>
    <t>Nwaoha, Chikezie;Holloway, Michael D.;Holloway, Michael D.</t>
  </si>
  <si>
    <t>Engineering: Manufacturing; Engineering</t>
  </si>
  <si>
    <t>TS9.H65 2013</t>
  </si>
  <si>
    <t>Production engineering--Dictionaries.</t>
  </si>
  <si>
    <t>Called to Serve : A History of Nuns in America</t>
  </si>
  <si>
    <t>McGuinness, Margaret M.</t>
  </si>
  <si>
    <t>BX4220.U6M34 2013</t>
  </si>
  <si>
    <t>271/.90073</t>
  </si>
  <si>
    <t>The Wiley-Blackwell Handbook of the Psychology of Leadership, Change, and Organizational Development</t>
  </si>
  <si>
    <t>Wiley-Blackwell Handbooks in Organizational Psychology Ser.</t>
  </si>
  <si>
    <t>Leonard, H. Skipton;Lewis, Rachel;Freedman, Arthur M.;Passmore, Jonathan</t>
  </si>
  <si>
    <t>BF637.L4 -- W55 2013eb</t>
  </si>
  <si>
    <t>Leadership - Psychological aspects</t>
  </si>
  <si>
    <t>Psychiatry and Clinical Neuroscience</t>
  </si>
  <si>
    <t>Zorumski, Charles;Rubin, Eugene</t>
  </si>
  <si>
    <t>RC321 -- .Z67 2011eb</t>
  </si>
  <si>
    <t>Psychiatry. ; Neurology.</t>
  </si>
  <si>
    <t>Encyclopedia of Television Pilots, 1937-2012</t>
  </si>
  <si>
    <t>Fine Arts; Business/Management</t>
  </si>
  <si>
    <t>PN1992.8.P54 -- T45 2013eb</t>
  </si>
  <si>
    <t>Television pilot programs -- United States -- Encyclopedias. ; Television programs -- United States -- Plots, themes, etc. -- Encyclopedias.</t>
  </si>
  <si>
    <t>John F. Kennedy in Quotations : A Topical Dictionary, with Sources</t>
  </si>
  <si>
    <t>Frost, David B.;Kennedy, John F.;Frost, David B</t>
  </si>
  <si>
    <t>E838.5 -- .K42 2013eb</t>
  </si>
  <si>
    <t>Kennedy, John F. -- (John Fitzgerald), -- 1917-1963 -- Quotations -- Dictionaries. ; Quotations, American -- Dictionaries. ; United States -- Politics and government -- 1961-1963 -- Quotations, maxims, etc. -- Dictionaries. ; United States -- Politics and government -- 1953-1961 -- Quotations, maxims, etc. -- Dictionaries.</t>
  </si>
  <si>
    <t>Encyclopedia of the Environment in American Literature</t>
  </si>
  <si>
    <t>Hamilton, Geoff;Jones, Brian</t>
  </si>
  <si>
    <t>PS169.E25 -- E53 2013eb</t>
  </si>
  <si>
    <t>American literature -- History and criticism -- Encyclopedias. ; Environmental literature -- United States -- History and criticism -- Encyclopedias. ; American literature -- Bio-bibliography. ; Environmental protection in literature. ; Environmentalism in literature. ; Nature in literature.</t>
  </si>
  <si>
    <t>New Microfinance Handbook : A Financial Market System Perspective</t>
  </si>
  <si>
    <t>World Bank Publications</t>
  </si>
  <si>
    <t>Ledgerwood, Joanna;Earne, Julie;Nelson, Candace</t>
  </si>
  <si>
    <t>HG178.3 -- .N49 2013eb</t>
  </si>
  <si>
    <t>Microfinance. ; Financial institutions. ; Poor -- Finance, Personal.</t>
  </si>
  <si>
    <t>Punch and Judy in 19th Century America : A History and Biographical Dictionary</t>
  </si>
  <si>
    <t>Howard, Ryan</t>
  </si>
  <si>
    <t>PN1979.P9 -- H69 2013eb</t>
  </si>
  <si>
    <t>Punch and Judy. ; Puppet theater -- United States -- History -- 19th century. ; Theater -- United States -- History -- 19th century. ; Theatrical producers and directors -- United States -- Biography -- Dictionaries. ; Actors -- United States -- Biography -- Dictionaries.</t>
  </si>
  <si>
    <t>The United States of the United Races : A Utopian History of Racial Mixing</t>
  </si>
  <si>
    <t>Carter, Greg</t>
  </si>
  <si>
    <t>Reproductive Politics : What Everyone Needs to Know®</t>
  </si>
  <si>
    <t>Solinger, Rickie</t>
  </si>
  <si>
    <t>HQ766.5.U5 -- S673 2013eb</t>
  </si>
  <si>
    <t>363.9/60973</t>
  </si>
  <si>
    <t>Reproductive rights -- United States. ; Contraception -- Government policy -- United States. ; Contraception -- Law and legislation -- United States. ; Women's rights -- United States.</t>
  </si>
  <si>
    <t>A Handbook of the World's Conifers : Revised and Updated Edition</t>
  </si>
  <si>
    <t>Farjon, Aljos</t>
  </si>
  <si>
    <t>QK494 -- .F356 2010eb</t>
  </si>
  <si>
    <t>Conifers -- Handbooks, manuals, etc. ; Gymnosperms -- Handbooks, manuals, etc.</t>
  </si>
  <si>
    <t>American Military Transport Aircraft Since 1925</t>
  </si>
  <si>
    <t>Johnson, E. R.;Jones, Lloyd S.</t>
  </si>
  <si>
    <t>Military Science; Engineering: General; Engineering</t>
  </si>
  <si>
    <t>UG1242.T7 -- J65 2013eb</t>
  </si>
  <si>
    <t>Transport planes -- United States. ; Airplanes, Military -- United States. ; Airlift, Military -- United States -- History.</t>
  </si>
  <si>
    <t>World Scientific Handbook Of Energy, The</t>
  </si>
  <si>
    <t>Materials And Energy</t>
  </si>
  <si>
    <t>Crawley, Gerard M</t>
  </si>
  <si>
    <t>Engineering: Mechanical; Engineering; Engineering: General</t>
  </si>
  <si>
    <t>TJ163.235 -- .W65 2013eb</t>
  </si>
  <si>
    <t>Power resources -- Handbooks, manuals, etc.</t>
  </si>
  <si>
    <t>Concise Dictionary of Social and Cultural Anthropology</t>
  </si>
  <si>
    <t>Morris, Mike</t>
  </si>
  <si>
    <t>GN307 -- .M67 2012eb</t>
  </si>
  <si>
    <t>Ethnology -- Dictionaries. ; Anthropology -- Dictionaries.</t>
  </si>
  <si>
    <t>The Economic War Against Cuba : A Historical and Legal Perspective on the U. S. Blockade</t>
  </si>
  <si>
    <t>Monthly Review Press</t>
  </si>
  <si>
    <t>Lamrani, Salim;Oberg, Larry</t>
  </si>
  <si>
    <t>Political Science; Law</t>
  </si>
  <si>
    <t>KF4678 -- .L36 2013eb</t>
  </si>
  <si>
    <t>Economic sanctions, American -- Cuba -- History -- 20th century. ; Embargo -- Cuba. ; United States -- Foreign economic relations -- Cuba. ; Cuba -- Foreign economic relations -- United States.</t>
  </si>
  <si>
    <t>Food Safety Hazard Guidebook</t>
  </si>
  <si>
    <t>Royal Society of Chemistry</t>
  </si>
  <si>
    <t>Lawley, Richard;Curtis, Laurie;Davis, Judy</t>
  </si>
  <si>
    <t>Science; Engineering; Engineering: Chemical; Science: Biology/Natural History</t>
  </si>
  <si>
    <t>QR115</t>
  </si>
  <si>
    <t>Food poisoning</t>
  </si>
  <si>
    <t>An Introduction to International Refugee Law</t>
  </si>
  <si>
    <t>Islam, M. Rafiqul;Bhuiyan, Jahid Hossain</t>
  </si>
  <si>
    <t>From Bombay to Bollywood : The Making of a Global Media Industry</t>
  </si>
  <si>
    <t>Postmillennial Pop Ser.</t>
  </si>
  <si>
    <t>Punathambekar, Aswin</t>
  </si>
  <si>
    <t>Fine Arts; Social Science</t>
  </si>
  <si>
    <t>PN1993.5.I8 -- P86 2013eb</t>
  </si>
  <si>
    <t>Motion picture industry -- India. ; Motion pictures -- India.</t>
  </si>
  <si>
    <t>China in the 21st Century : What Everyone Needs to Know</t>
  </si>
  <si>
    <t>Wasserstrom, Jeffrey N.</t>
  </si>
  <si>
    <t>DS779.4 -- .W37 2013eb</t>
  </si>
  <si>
    <t>China -- History -- 21st century.</t>
  </si>
  <si>
    <t>Blackwell's Nursing Dictionary</t>
  </si>
  <si>
    <t>Freshwater, Dawn;Masiln-Prothero, Sian</t>
  </si>
  <si>
    <t>Nursing</t>
  </si>
  <si>
    <t>RT21 -- .B53 2005eb</t>
  </si>
  <si>
    <t>Nursing -- Dictionaries. ; Nursing.</t>
  </si>
  <si>
    <t>Advanced Calculus, An Introduction To Mathematical Analysis</t>
  </si>
  <si>
    <t>Zaidman, Samuel</t>
  </si>
  <si>
    <t>QA300 -- .Z285 1997eb</t>
  </si>
  <si>
    <t>Mathematical analysis. ; Calculus.</t>
  </si>
  <si>
    <t>Legal Pluralism and Empires, 1500-1850</t>
  </si>
  <si>
    <t>Benton, Lauren;Ross, Richard J.</t>
  </si>
  <si>
    <t>342/.04130903</t>
  </si>
  <si>
    <t>The United Kingdom - England : Ireland</t>
  </si>
  <si>
    <t>The Britannica Guide to Countries of the European Union Ser.</t>
  </si>
  <si>
    <t>Wallenfeldt, Jeff;Wallenfeldt, Jeff</t>
  </si>
  <si>
    <t>DA27.5 -- .U45 2014eb</t>
  </si>
  <si>
    <t>England -- Juvenile literature. ; Great Britain -- Juvenile literature.</t>
  </si>
  <si>
    <t>France - Britannica Guide to Countries of the European Union : Ireland</t>
  </si>
  <si>
    <t>Britannica Educational Publishing Staff;Ray, Michael</t>
  </si>
  <si>
    <t>DC17 -- .F656 2014eb</t>
  </si>
  <si>
    <t>European Union -- France -- Juvenile literature. ; France -- Juvenile literature.</t>
  </si>
  <si>
    <t>Germany - Britannica Guide to Countries of the European Union : Ireland</t>
  </si>
  <si>
    <t>DD17 -- .G474 2014eb</t>
  </si>
  <si>
    <t>European Union -- Germany -- Juvenile literature. ; Germany -- Juvenile literature.</t>
  </si>
  <si>
    <t>Italy - Britannica Guide to Countries of the European Union</t>
  </si>
  <si>
    <t>Britannica Educational Publishing Staff;Murray, Lorraine</t>
  </si>
  <si>
    <t>DG417 -- .I8853 2014eb</t>
  </si>
  <si>
    <t>European Union -- Italy -- Juvenile literature. ; Italy -- Juvenile literature.</t>
  </si>
  <si>
    <t>Portugal and Spain - Britannica Guide to Countries of the European Union : Ireland</t>
  </si>
  <si>
    <t>DP517 -- .P628 2014eb</t>
  </si>
  <si>
    <t>European Union -- Portugal -- Juvenile literature. ; European Union -- Spain -- Juvenile literature. ; Portugal -- Juvenile literature. ; Spain -- Juvenile literature.</t>
  </si>
  <si>
    <t>Bulgaria, Hungary, Romania, the Czech Republic, and Slovakia - Britannica Guide to Countries of the European Union : Ireland</t>
  </si>
  <si>
    <t>DAW1051 -- .B85 2014eb</t>
  </si>
  <si>
    <t>Europe, Central -- Encyclopedias.</t>
  </si>
  <si>
    <t>Denmark, Finland, and Sweden - Britannica Guide to Countries of the European Union : Ireland</t>
  </si>
  <si>
    <t>Britannica Educational Publishing;McKenna, Amy;Britannica Educational Publishing Staff</t>
  </si>
  <si>
    <t>DL109 -- .D434 2014eb</t>
  </si>
  <si>
    <t>Denmark -- Juvenile literature. ; Finland -- Juvenile literature. ; Sweden -- Juvenile literature.</t>
  </si>
  <si>
    <t>Austria, Croatia, and Slovenia - Britannica Guide to Countries of the European Union : Ireland</t>
  </si>
  <si>
    <t>DB17 -- .A825 2014eb</t>
  </si>
  <si>
    <t>European Union -- Austria -- Juvenile literature. ; European Union -- Croatia -- Juvenile literature. ; European Union -- Slovenia -- Juvenile literature. ; Austria -- Juvenile literature. ; Croatia -- Juvenile literature. ; Slovenia -- Juvenile literature.</t>
  </si>
  <si>
    <t>Estonia, Latvia, Lithuania, and Poland - Britannica Guide to Countries of the European Union : Ireland</t>
  </si>
  <si>
    <t>Britannica Educational Publishing Staff;McKenna, Amy</t>
  </si>
  <si>
    <t>DK502.35 -- .E87 2014eb</t>
  </si>
  <si>
    <t>Baltic States -- Juvenile literature. ; Estonia -- Juvenile literature. ; Latvia -- Juvenile literature. ; Lithuania -- Juvenile literature. ; Poland -- Juvenile literature.</t>
  </si>
  <si>
    <t>Cyprus, Greece, and Malta - Britannica Guide to Countries of the European Union : Ireland</t>
  </si>
  <si>
    <t>Tesch, Noah;Tesch, Noah</t>
  </si>
  <si>
    <t>DS54.A3 -- C964 2014eb</t>
  </si>
  <si>
    <t>Cyprus -- Encyclopedias. ; Greece -- Encyclopedias. ; Malta -- Encyclopedias.</t>
  </si>
  <si>
    <t>Belgium, Luxembourg, and the Netherlands - Britannica Guide to Countries of the European Union : Ireland</t>
  </si>
  <si>
    <t>DH107 -- .B45 2014eb</t>
  </si>
  <si>
    <t>Benelux countries -- History.</t>
  </si>
  <si>
    <t>Classical Authors - 500 BCE to 1100 CE : Classical Authors: 500 Bce to 1100 Ce</t>
  </si>
  <si>
    <t>The Britannica Guide to Authors Ser.</t>
  </si>
  <si>
    <t>Britannica Educational Publishing Staff;Kuiper, Kathleen</t>
  </si>
  <si>
    <t>PA3005 -- .C58 2014eb</t>
  </si>
  <si>
    <t>Authors, Classical -- Biography. ; Classical literature -- History and criticism. ; Literature, Ancient -- History and criticism. ; Authorship -- History -- To 1500.</t>
  </si>
  <si>
    <t>Authors of the Medieval and Renaissance Eras, 1100 to 1660 : Authors of the Enlightenment: 1660 To 1800</t>
  </si>
  <si>
    <t>PN144 -- .A98 2014eb</t>
  </si>
  <si>
    <t>820.9/001</t>
  </si>
  <si>
    <t>Authorship -- History -- To 1500. ; Authorship -- History -- 17th century. ; Authors, Medieval. ; Creation (Literary, artistic, etc.) -- History -- To 1500. ; Creation (Literary, artistic, etc.) -- History -- 17th century.</t>
  </si>
  <si>
    <t>Authors of the Enlightenment, 1660 to 1800 : Authors of the Enlightenment: 1660 To 1800</t>
  </si>
  <si>
    <t>Britannica Educational Publishing Staff;Luebering, J.E.</t>
  </si>
  <si>
    <t>PN451 -- .A965 2014eb</t>
  </si>
  <si>
    <t>809/.03;B</t>
  </si>
  <si>
    <t>Authors -- 17th century -- Biography. ; Authors -- 18th century -- Biography. ; Literature, Modern -- 17th century -- Bio-bibliography. ; Literature -- 18th century -- Bio-bibliography. ; Authorship -- History -- 17th century. ; Authorship -- History -- 18th century.</t>
  </si>
  <si>
    <t>Authors of the 19th Century : Authors of the Enlightenment: 1660 To 1800</t>
  </si>
  <si>
    <t>PN451 -- .A956 2014eb</t>
  </si>
  <si>
    <t>809/.034</t>
  </si>
  <si>
    <t>Authors -- 19th century -- Biography. ; Literature, Modern -- 19th century -- History and criticism. ; Authorship -- History -- 19th century.</t>
  </si>
  <si>
    <t>Authors of the Early to Mid-20th Century : Authors of the Enlightenment: 1660 To 1800</t>
  </si>
  <si>
    <t>PN451 -- .A96 2014eb</t>
  </si>
  <si>
    <t>809/.04</t>
  </si>
  <si>
    <t>Authors -- 20th century -- Biography. ; Authorship -- History -- 20th century. ; Literature, Modern -- 20th century -- Bio-bibliography.</t>
  </si>
  <si>
    <t>Contemporary Authors - 1945 to the Present : Contemporary Authors: 1945 to the Present</t>
  </si>
  <si>
    <t>PN451 -- .C623 2014eb</t>
  </si>
  <si>
    <t>808/.045;B</t>
  </si>
  <si>
    <t>Authors -- 20th century -- Biography. ; Literature, Modern -- 20th century -- History and criticism. ; Authorship -- History -- 20th century.</t>
  </si>
  <si>
    <t>Explorers in the 20th and 21st Centuries : From Auguste Piccard to James Cameron</t>
  </si>
  <si>
    <t>The Britannica Guide to Explorers and Adventurers Ser.</t>
  </si>
  <si>
    <t>Britannica Educational Publishing Staff;Pletcher, Kenneth</t>
  </si>
  <si>
    <t>G200 -- .E884 2014eb</t>
  </si>
  <si>
    <t>910.92/2</t>
  </si>
  <si>
    <t>Explorers -- Biography -- Juvenile literature. ; Discoveries in geography -- Juvenile literature.</t>
  </si>
  <si>
    <t>Pandemics : What Everyone Needs to Know®</t>
  </si>
  <si>
    <t>Doherty, Peter C.</t>
  </si>
  <si>
    <t>RA649.D64 2013eb</t>
  </si>
  <si>
    <t>Epidemics -- History. ; World health.</t>
  </si>
  <si>
    <t>1929 : Mapping the Jewish World</t>
  </si>
  <si>
    <t>Goldstein-Goren Series in American Jewish History Ser.</t>
  </si>
  <si>
    <t>Diner, Hasia R.;Estraikh, Gennady</t>
  </si>
  <si>
    <t>E184.354.A14 2013eb</t>
  </si>
  <si>
    <t>Biographical Dictionary of the People's Republic of China</t>
  </si>
  <si>
    <t>Song, Yuwu</t>
  </si>
  <si>
    <t>DS778.A1 -- B56 2013eb</t>
  </si>
  <si>
    <t>China -- History -- 1949- -- Biography -- Dictionaries.</t>
  </si>
  <si>
    <t>The Climate Crisis : An Introductory Guide to Climate Change</t>
  </si>
  <si>
    <t>Archer, David;Rahmstorf, Stefan</t>
  </si>
  <si>
    <t>Science; Environmental Studies; Science: Physics</t>
  </si>
  <si>
    <t>QC903 -- .A73 2010eb</t>
  </si>
  <si>
    <t>363.738/74</t>
  </si>
  <si>
    <t>Climatic changes - Government policy</t>
  </si>
  <si>
    <t>The Guidebook to Sociolinguistics</t>
  </si>
  <si>
    <t>Introducing Linguistics Ser.</t>
  </si>
  <si>
    <t>Bell, Allan</t>
  </si>
  <si>
    <t>P40.B349 2013eb</t>
  </si>
  <si>
    <t>Sociolinguistics. ; Linguistics.</t>
  </si>
  <si>
    <t>The Palgrave Handbook of Olympic Studies</t>
  </si>
  <si>
    <t>Lenskyj, H.;Wagg, S.</t>
  </si>
  <si>
    <t>Sports</t>
  </si>
  <si>
    <t>Food Politics : What Everyone Needs to Know®</t>
  </si>
  <si>
    <t>Paarlberg, Robert</t>
  </si>
  <si>
    <t>Business/Management; Agriculture; Economics</t>
  </si>
  <si>
    <t>HD1415.P12 2013eb</t>
  </si>
  <si>
    <t>338.1/9</t>
  </si>
  <si>
    <t>Agriculture and state. ; Food supply. ; Food -- Marketing. ; Nutrition policy.</t>
  </si>
  <si>
    <t>Revolutionary Medicine : The Founding Fathers and Mothers in Sickness and in Health</t>
  </si>
  <si>
    <t>Abrams, Jeanne E.</t>
  </si>
  <si>
    <t>E302.5.A37 2013eb</t>
  </si>
  <si>
    <t>The Princeton Dictionary of Buddhism</t>
  </si>
  <si>
    <t>Princeton University Press</t>
  </si>
  <si>
    <t>Buswell, Robert E., Jr.;Lopez, Donald S., Jr.;Buswell, Robert E.;Lopez, Donald S.</t>
  </si>
  <si>
    <t>BQ130.P75 2014eb</t>
  </si>
  <si>
    <t>Buddhism -- Dictionaries.</t>
  </si>
  <si>
    <t>Medical Decision Making : A Physician's Guide</t>
  </si>
  <si>
    <t>Schwartz, Alan;Bergus, George</t>
  </si>
  <si>
    <t>R723.5 -- .S37 2008eb</t>
  </si>
  <si>
    <t>610.69/6</t>
  </si>
  <si>
    <t>Patient Participation</t>
  </si>
  <si>
    <t>Kel Richards' Dictionary of Phrase and Fable</t>
  </si>
  <si>
    <t>NewSouth</t>
  </si>
  <si>
    <t>Richards, Kel</t>
  </si>
  <si>
    <t>PE3601.Z5.K45 2013</t>
  </si>
  <si>
    <t>Air conditioning. ; Heating. ; Ventilation.</t>
  </si>
  <si>
    <t>Christmas Encyclopedia</t>
  </si>
  <si>
    <t>Crump, William D.</t>
  </si>
  <si>
    <t>GT4985 -- .C74 2013eb</t>
  </si>
  <si>
    <t>Christmas -- Encyclopedias.</t>
  </si>
  <si>
    <t>Encyclopedia of Fairies in World Folklore and Mythology</t>
  </si>
  <si>
    <t>Philosophy; Social Science</t>
  </si>
  <si>
    <t>BF1552 -- .B27 2013eb</t>
  </si>
  <si>
    <t>Fairies -- Encyclopedias.</t>
  </si>
  <si>
    <t>Servants of Allah : African Muslims Enslaved in the Americas</t>
  </si>
  <si>
    <t>Diouf, Sylviane A.</t>
  </si>
  <si>
    <t>E443.D56 2013eb</t>
  </si>
  <si>
    <t>305.6/971073</t>
  </si>
  <si>
    <t>Encyclopedia of Nuclear Physics and Its Applications</t>
  </si>
  <si>
    <t>Encyclopedia of Applied Physics Ser.</t>
  </si>
  <si>
    <t>Stock, Reinhard</t>
  </si>
  <si>
    <t>QC173.E539 2013eb</t>
  </si>
  <si>
    <t>Nuclear physics -- Encyclopedias.</t>
  </si>
  <si>
    <t>Dictionary of Tocharian B. : Revised and Greatly Enlarged.</t>
  </si>
  <si>
    <t>Editions Rodopi</t>
  </si>
  <si>
    <t>Adams, Douglas Q.</t>
  </si>
  <si>
    <t>P925 -- .A33 2013eb</t>
  </si>
  <si>
    <t>491.9943;491.994321</t>
  </si>
  <si>
    <t>Tokharian language -- Dictionaries.</t>
  </si>
  <si>
    <t>A Performer's Guide to Renaissance Music, Second Edition</t>
  </si>
  <si>
    <t>Indiana University Press</t>
  </si>
  <si>
    <t>Publications of the Early Music Institute Ser.</t>
  </si>
  <si>
    <t>Kite-Powell, Jeffery</t>
  </si>
  <si>
    <t>ML457.P48 2007eb</t>
  </si>
  <si>
    <t>781.4/309031</t>
  </si>
  <si>
    <t>Performance practice (Music) - History - 16th century</t>
  </si>
  <si>
    <t>Hanukkah in America : A History</t>
  </si>
  <si>
    <t>Ashton, Dianne</t>
  </si>
  <si>
    <t>BM695 .H3.A84 2013eb</t>
  </si>
  <si>
    <t>Hanukkah -- United States. ; Judaism -- United States -- History -- 21st century. ; Judaism -- United States.</t>
  </si>
  <si>
    <t>Hydrofracking : What Everyone Needs to Know®</t>
  </si>
  <si>
    <t>Prud'homme, Alex</t>
  </si>
  <si>
    <t>Engineering; Engineering: Mining</t>
  </si>
  <si>
    <t>TN880.2.P78 2013eb</t>
  </si>
  <si>
    <t>Hydraulic fracturing -- Popular works. ; Hydraulic fracturing. ; Oil wells -- Hydraulic fracturing -- Popular works. ; Oil wells -- Hydraulic fracturing. ; Shale gas reservoirs -- Popular works. ; Shale gas reservoirs.</t>
  </si>
  <si>
    <t>ALA Glossary of Library and Information Science</t>
  </si>
  <si>
    <t>American Library Association</t>
  </si>
  <si>
    <t>Levine-Clark, Michael;Carter Dean, Toni</t>
  </si>
  <si>
    <t>Library Science</t>
  </si>
  <si>
    <t>Z</t>
  </si>
  <si>
    <t>Comparative management. ; Management -- Cross-cultural studies.</t>
  </si>
  <si>
    <t>Essential Ornithology</t>
  </si>
  <si>
    <t>Scott, Graham</t>
  </si>
  <si>
    <t>QL673.S275 2010eb</t>
  </si>
  <si>
    <t>Ornithology. ; Birds.</t>
  </si>
  <si>
    <t>Cybersecurity and Cyberwar : What Everyone Needs to Know®</t>
  </si>
  <si>
    <t>Singer, P. W.;Friedman, Allan;Singer, P. W.</t>
  </si>
  <si>
    <t>QA76.9.A25.S562 201</t>
  </si>
  <si>
    <t>Computer security -- United States. ; Computer networks -- Security measures -- United States. ; Cyberspace -- Security measures -- United States. ; Cyberterrorism -- United States -- Prevention. ; Information warfare -- United States -- Prevention.</t>
  </si>
  <si>
    <t>Brill's Companion to Sophocles</t>
  </si>
  <si>
    <t>Markantonatos, Andreas</t>
  </si>
  <si>
    <t>PA4417.B78 2012eb</t>
  </si>
  <si>
    <t>882/.01</t>
  </si>
  <si>
    <t>Slavery's Exiles : The Story of the American Maroons</t>
  </si>
  <si>
    <t>E450.D56 2014eb</t>
  </si>
  <si>
    <t>Administrative Law</t>
  </si>
  <si>
    <t>Clarendon Law Ser.</t>
  </si>
  <si>
    <t>Cane, Peter</t>
  </si>
  <si>
    <t>KD4902.C36 2011eb</t>
  </si>
  <si>
    <t>Judicial review of administrative acts -- Great Britain. ; Administrative law -- Great Britain.</t>
  </si>
  <si>
    <t>Introduction to Power Electronics</t>
  </si>
  <si>
    <t>Artech House</t>
  </si>
  <si>
    <t>Chappell, Paul H.</t>
  </si>
  <si>
    <t>Engineering: Electrical; Engineering</t>
  </si>
  <si>
    <t>TK7881.15.C437 2014</t>
  </si>
  <si>
    <t>Power electronics.</t>
  </si>
  <si>
    <t>Dictionary of Wa (2 Vols) : With Translations into English, Burmese and Chinese</t>
  </si>
  <si>
    <t>Handbook of Oriental Studies. Section 3 Southeast Asia Ser.</t>
  </si>
  <si>
    <t>Watkins, Justin</t>
  </si>
  <si>
    <t>PL4470.W38 2014eb</t>
  </si>
  <si>
    <t>A Guide to Online Course Design : Strategies for Student Success</t>
  </si>
  <si>
    <t>Stavredes, Tina;Herder, Tiffany</t>
  </si>
  <si>
    <t>LB1044.87.S73 2014eb</t>
  </si>
  <si>
    <t>371.33/44678</t>
  </si>
  <si>
    <t>Web-based instruction -- Design. ; College teaching. ; Distance education.</t>
  </si>
  <si>
    <t>Phantom Limb : Amputation, Embodiment, and Prosthetic Technology</t>
  </si>
  <si>
    <t>Biopolitics Ser.</t>
  </si>
  <si>
    <t>Crawford, Cassandra S.</t>
  </si>
  <si>
    <t>RD553.C88 2014eb</t>
  </si>
  <si>
    <t>A Dictionary of Chemical Engineering</t>
  </si>
  <si>
    <t>OUP Oxford</t>
  </si>
  <si>
    <t>Oxford Quick Reference</t>
  </si>
  <si>
    <t>Schaschke, Carl</t>
  </si>
  <si>
    <t>Engineering: Chemical; Engineering</t>
  </si>
  <si>
    <t>TP9 -- .S33 2014eb</t>
  </si>
  <si>
    <t>Chemical engineering -- Dictionaries.</t>
  </si>
  <si>
    <t>Evaluation of Parenting Capacity in Child Protection</t>
  </si>
  <si>
    <t>Best Practices in Forensic Mental Health Assessments Ser.</t>
  </si>
  <si>
    <t>Budd, Karen S.;Connell, Mary;Clark, Jennifer R.</t>
  </si>
  <si>
    <t>RA1151 -- .B915 2011eb</t>
  </si>
  <si>
    <t>Forensic psychiatry. ; Child welfare.</t>
  </si>
  <si>
    <t>Children's Rights under and the Law</t>
  </si>
  <si>
    <t>Davis, Samuel</t>
  </si>
  <si>
    <t>KF479 -- .D385 2011eb</t>
  </si>
  <si>
    <t>346.7301/35</t>
  </si>
  <si>
    <t>United States. -- Supreme Court. ; Children -- Legal status, laws, etc. -- United States. ; Children's rights -- United States. ; Parent and child (Law) -- United States. ; Juvenile justice, Administration of -- United States.</t>
  </si>
  <si>
    <t>Student Engagement Handbook : Practice in Higher Education</t>
  </si>
  <si>
    <t>Dunne, Elisabeth;Owen, Derfel</t>
  </si>
  <si>
    <t>LA173-186</t>
  </si>
  <si>
    <t>Motivation in education. ; Effective teaching. ; Academic achievement.</t>
  </si>
  <si>
    <t>Encyclopedia of Philosophers on Religion</t>
  </si>
  <si>
    <t>Verkamp, Bernard J.</t>
  </si>
  <si>
    <t>B104.V47 2008</t>
  </si>
  <si>
    <t>210.92/2</t>
  </si>
  <si>
    <t>Religion - Philosophy</t>
  </si>
  <si>
    <t>British and Irish Poets : A Biographical Dictionary, 449-2006</t>
  </si>
  <si>
    <t>Stewart, William;Barfield, Steven</t>
  </si>
  <si>
    <t>PR502.B67 2007</t>
  </si>
  <si>
    <t>821.09 B</t>
  </si>
  <si>
    <t>English poetry - Welsh authors</t>
  </si>
  <si>
    <t>Peter Carey : A Literary Companion</t>
  </si>
  <si>
    <t>Snodgrass, Mary Ellen</t>
  </si>
  <si>
    <t>PR9619.3.C36Z85 2010</t>
  </si>
  <si>
    <t>Carey, Peter - Criticism and interpretation</t>
  </si>
  <si>
    <t>A Biographical Dictionary of the Baseball Hall of Fame</t>
  </si>
  <si>
    <t>Skipper, John C.</t>
  </si>
  <si>
    <t>GV865.A1S516 2008</t>
  </si>
  <si>
    <t>796.357/092/273 B</t>
  </si>
  <si>
    <t>National Baseball Hall of Fame and Museum -- History. ; Baseball players -- United States -- Biography -- Dictionaries. ; Baseball players -- United States -- Statistics.</t>
  </si>
  <si>
    <t>Encyclopedia of American Radio, 1920-1960</t>
  </si>
  <si>
    <t>Sies, Luther F.</t>
  </si>
  <si>
    <t>PN1991.2.S57 2008</t>
  </si>
  <si>
    <t>Radio broadcasting - United States</t>
  </si>
  <si>
    <t>Alternate Names of Places : A Worldwide Dictionary</t>
  </si>
  <si>
    <t>G105.R648 2009</t>
  </si>
  <si>
    <t>Gazetteers</t>
  </si>
  <si>
    <t>Encyclopedia of Capital Punishment in the United States, 2d Ed</t>
  </si>
  <si>
    <t>Palmer, Louis J., Jr.</t>
  </si>
  <si>
    <t>HV8694.P35 2008</t>
  </si>
  <si>
    <t>364.66/0973/03</t>
  </si>
  <si>
    <t>Capital punishment - United States</t>
  </si>
  <si>
    <t>Encyclopedia of Abortion in the United States</t>
  </si>
  <si>
    <t>Palmer, Louis J., Jr.;Palmer, Xueyan Z.</t>
  </si>
  <si>
    <t>HQ767.5.U5P35 2009</t>
  </si>
  <si>
    <t>363.460973/03</t>
  </si>
  <si>
    <t>Abortion - United States</t>
  </si>
  <si>
    <t>Serial Vigilantes of Paperback Fiction : An Encyclopedia from Able Team to Z-Comm</t>
  </si>
  <si>
    <t>Mengel, Bradley</t>
  </si>
  <si>
    <t>PS374.V56M46 2009</t>
  </si>
  <si>
    <t>Vigilantes in literature -- Encyclopedias. ; Serialized fiction -- United States -- Encyclopedias. ; Serialized fiction -- United States -- Bibliography.</t>
  </si>
  <si>
    <t>Encyclopedia of African American Actresses in Film and Television</t>
  </si>
  <si>
    <t>McCann, Bob</t>
  </si>
  <si>
    <t>PN1995.9.N4M345 2010</t>
  </si>
  <si>
    <t>791.4302/8092396073</t>
  </si>
  <si>
    <t>African American actresses</t>
  </si>
  <si>
    <t>Illustrated Dictionary of the Third Reich</t>
  </si>
  <si>
    <t>Lepage, Jean-Denis G.G.</t>
  </si>
  <si>
    <t>DD256.47.L47 2014eb</t>
  </si>
  <si>
    <t>Hitler, Adolf, -- 1889-1945 -- Dictionaries. ; National socialism -- Dictionaries. ; World War, 1939-1945 -- Dictionaries. ; Germany -- History -- 1933-1945 -- Dictionaries.</t>
  </si>
  <si>
    <t>Broadway Plays and Musicals : Descriptions and Essential Facts of More Than 14,000 Shows Through 2007</t>
  </si>
  <si>
    <t>PN2277.N5H573 2009</t>
  </si>
  <si>
    <t>792.09747/1</t>
  </si>
  <si>
    <t>Musical theater - New York (State) - New York</t>
  </si>
  <si>
    <t>American Revolutionary War Leaders : A Biographical Dictionary</t>
  </si>
  <si>
    <t>E206.H266 2009</t>
  </si>
  <si>
    <t>United States - History - Revolution, 1775-1783</t>
  </si>
  <si>
    <t>Statistical Encyclopedia of North American Professional Sports : All Teams and Major Non-Team Events Year by Year, 1876 Through 2006</t>
  </si>
  <si>
    <t>Gaschnitz, K. Michael</t>
  </si>
  <si>
    <t>GV581 -- .G37 2008eb</t>
  </si>
  <si>
    <t>Professional sports -- North America -- History -- Statistics. ; Sports -- North America -- History -- Statistics.</t>
  </si>
  <si>
    <t>Encyclopedia of Television Law Shows : Factual and Fictional Series about Judges, Lawyers and the Courtroom, 1948-2008</t>
  </si>
  <si>
    <t>Erickson, Hal</t>
  </si>
  <si>
    <t>PN1992.8.J87E53 2009</t>
  </si>
  <si>
    <t>791.45/655403</t>
  </si>
  <si>
    <t>Justice, Administration of, on television</t>
  </si>
  <si>
    <t>Edward Albee : A Literary Companion</t>
  </si>
  <si>
    <t>Dircks, Phyllis T.</t>
  </si>
  <si>
    <t>PS3551.L25Z646 2010</t>
  </si>
  <si>
    <t>812/.54</t>
  </si>
  <si>
    <t>Albee, Edward - Criticism and interpretation</t>
  </si>
  <si>
    <t>Off Broadway Musicals, 1910-2007 : Casts, Credits, Songs, Critical Reception and Performance Data of More Than 1,800 Shows</t>
  </si>
  <si>
    <t>Dietz, Dan</t>
  </si>
  <si>
    <t>ML1711.8.N3D54 2010</t>
  </si>
  <si>
    <t>Musicals -- New York (State) -- New York. ; Off-Broadway theater.</t>
  </si>
  <si>
    <t>The Seafaring Dictionary : Terms, Idioms and Legends of the Past and Present</t>
  </si>
  <si>
    <t>Blackmore, David S. T.;Baldwin, J.A.</t>
  </si>
  <si>
    <t>Engineering; Military Science; Engineering: General</t>
  </si>
  <si>
    <t>V23.B583 2009</t>
  </si>
  <si>
    <t>Naval art and science -- Dictionaries. ; Seamanship -- Terminology.</t>
  </si>
  <si>
    <t>Brill's Companion to Seneca : Philosopher and Dramatist</t>
  </si>
  <si>
    <t>Heil, Andreas;Damschen, Gregor</t>
  </si>
  <si>
    <t>Philosophy; Literature</t>
  </si>
  <si>
    <t>PA6675.B75 2014eb</t>
  </si>
  <si>
    <t>Using Online Dictionaries</t>
  </si>
  <si>
    <t>Lexicographica. Series Maior Ser.</t>
  </si>
  <si>
    <t>Müller-Spitzer, Carolin;Müller-Spitzer, Carolin;Herbst, Thomas</t>
  </si>
  <si>
    <t>PE1628 .U856 2014eb</t>
  </si>
  <si>
    <t>English language -- Dictionaries. ; German language -- Dictionaries. ; Machine translating. ; Translating services.</t>
  </si>
  <si>
    <t>Lifted : A Cultural History of the Elevator</t>
  </si>
  <si>
    <t>Bernard, Andreas</t>
  </si>
  <si>
    <t>Engineering; Engineering: Mechanical</t>
  </si>
  <si>
    <t>TJ1370.B4713 2014eb</t>
  </si>
  <si>
    <t>Elevators - Social aspects - History</t>
  </si>
  <si>
    <t>Psychopathy : An Introduction to Biological Findings and Their Implications</t>
  </si>
  <si>
    <t>Psychology and Crime Ser.</t>
  </si>
  <si>
    <t>Raine, Adrian;Glenn, Andrea L.</t>
  </si>
  <si>
    <t>RC555.G54 2014eb</t>
  </si>
  <si>
    <t>Antisocial personality disorders - Genetic aspects</t>
  </si>
  <si>
    <t>Pranksters : Making Mischief in the Modern World</t>
  </si>
  <si>
    <t>McLeod, Kembrew</t>
  </si>
  <si>
    <t>001.9/5</t>
  </si>
  <si>
    <t>Feeling Mediated : A History of Media Technology and Emotion in America</t>
  </si>
  <si>
    <t>Malin, Brenton J.</t>
  </si>
  <si>
    <t>P96.T422 -- U6358 2014eb</t>
  </si>
  <si>
    <t>Communication - Psychological aspects - United States</t>
  </si>
  <si>
    <t>The Catholic Church : What Everyone Needs to Know®</t>
  </si>
  <si>
    <t>Allen, John L.</t>
  </si>
  <si>
    <t>BX1754.A45 2014eb</t>
  </si>
  <si>
    <t>Catholic Church -- Doctrines. ; Theology, Doctrinal -- Popular works.</t>
  </si>
  <si>
    <t>Oxford Handbook of Rheumatology</t>
  </si>
  <si>
    <t>Oxford Medical Handbooks</t>
  </si>
  <si>
    <t>Hakim, Alan;Clunie, Gavin;Haq, Inam</t>
  </si>
  <si>
    <t>RC927 -- .O952 2011eb</t>
  </si>
  <si>
    <t>616.7/23</t>
  </si>
  <si>
    <t>Rheumatology -- Handbooks, manuals, etc.</t>
  </si>
  <si>
    <t>Family Practice Guidelines, Third Edition : Third Edition</t>
  </si>
  <si>
    <t>Cash, Jill C.;Glass, Cheryl A.</t>
  </si>
  <si>
    <t>RT120.F34 -- F36 2014eb</t>
  </si>
  <si>
    <t>Family medicine -- Handbooks, manuals, etc. ; Primary nursing -- Handbooks, manuals, etc. ; Nurse practitioners. ; Physicians' assistants.</t>
  </si>
  <si>
    <t>The Post-Racial Mystique : Media and Race in the Twenty-First Century</t>
  </si>
  <si>
    <t>Squires, Catherine</t>
  </si>
  <si>
    <t>P94.65.U6 -- S77 2014eb</t>
  </si>
  <si>
    <t>Race and media</t>
  </si>
  <si>
    <t>Introduction to 4G Mobile Communications</t>
  </si>
  <si>
    <t>Korhonen, Juha</t>
  </si>
  <si>
    <t>Engineering; Engineering: Electrical</t>
  </si>
  <si>
    <t>TK5103.48325.K674 2014</t>
  </si>
  <si>
    <t>Long-Term Evolution (Telecommunications)</t>
  </si>
  <si>
    <t>Encyclopedia of Imaginary and Mythical Places</t>
  </si>
  <si>
    <t>GR940 -- .B36 2014eb</t>
  </si>
  <si>
    <t>398.23/4003</t>
  </si>
  <si>
    <t>Geographical myths -- Encyclopedias. ; Legends -- Encyclopedias. ; Mythology -- Encyclopedias.</t>
  </si>
  <si>
    <t>Great Authors of Classic Literature</t>
  </si>
  <si>
    <t>Essential Authors for Children and Teens Ser.</t>
  </si>
  <si>
    <t>Nagle, Jeanne;Britannica Educational Publishing Staff</t>
  </si>
  <si>
    <t>PN451 -- .G74 2014eb</t>
  </si>
  <si>
    <t>809/.003</t>
  </si>
  <si>
    <t>Authors -- Biography -- Juvenile literature. ; Literature -- History and criticism -- Juvenile literature.</t>
  </si>
  <si>
    <t>Great Authors of Popular Fiction</t>
  </si>
  <si>
    <t>Killcoyne, Hope;Britannica Educational Publishing Staff</t>
  </si>
  <si>
    <t>PN452 -- .G698 2014eb</t>
  </si>
  <si>
    <t>809 B</t>
  </si>
  <si>
    <t>Novelists -- Juvenile biography.</t>
  </si>
  <si>
    <t>Great Authors of Nonfiction</t>
  </si>
  <si>
    <t>PN452 -- .G694 2014eb</t>
  </si>
  <si>
    <t>Authors -- Biography -- Juvenile literature. ; Prose literature -- History and criticism -- Juvenile literature.</t>
  </si>
  <si>
    <t>Great Authors of Mystery, Horror and Thrillers</t>
  </si>
  <si>
    <t>PN452 -- .G696 2014eb</t>
  </si>
  <si>
    <t>B</t>
  </si>
  <si>
    <t>Novelists -- Juvenile biography. ; Detective and mystery stories -- History and criticism -- Juvenile literature. ; Horror tales -- History and criticism -- Juvenile literature. ; Suspense fiction -- History and criticism -- Juvenile literature.</t>
  </si>
  <si>
    <t>Great Authors of Children's Books</t>
  </si>
  <si>
    <t>PN497 -- .G74 2014eb</t>
  </si>
  <si>
    <t>809/.89282</t>
  </si>
  <si>
    <t>Children's literature -- Authorship -- Juvenile literature. ; Authors -- Biography -- Juvenile literature. ; Young adult literature -- Authorship -- Juvenile literature. ; Children -- Books and reading -- Juvenile literature.</t>
  </si>
  <si>
    <t>Top 101 Musicians</t>
  </si>
  <si>
    <t>People You Should Know Ser.</t>
  </si>
  <si>
    <t>Saxena, Shalini;Britannica Educational Publishing Staff</t>
  </si>
  <si>
    <t>ML3929 -- .T66 2014eb</t>
  </si>
  <si>
    <t>780.92/2</t>
  </si>
  <si>
    <t>Musicians -- Biography -- Dictionaries, Juvenile. ; Musical groups -- Biography -- Dictionaries, Juvenile.</t>
  </si>
  <si>
    <t>Top 101 World Leaders</t>
  </si>
  <si>
    <t>D107 -- .T67 2014eb</t>
  </si>
  <si>
    <t>352.23092/2</t>
  </si>
  <si>
    <t>Heads of state -- Biography -- Juvenile literature. ; Statesmen -- Biography -- Juvenile literature.</t>
  </si>
  <si>
    <t>Top 101 Remarkable Women</t>
  </si>
  <si>
    <t>CT3207 -- .T67 2014eb</t>
  </si>
  <si>
    <t>Women -- Biography -- Juvenile literature.</t>
  </si>
  <si>
    <t>Top 101 Artists</t>
  </si>
  <si>
    <t>N42 -- .T67 2014eb</t>
  </si>
  <si>
    <t>709.2/2</t>
  </si>
  <si>
    <t>Artists -- Biography -- Dictionaries, Juvenile.</t>
  </si>
  <si>
    <t>Top 101 Philosophers</t>
  </si>
  <si>
    <t>B104 -- .T67 2014eb</t>
  </si>
  <si>
    <t>Philosophers -- Biography -- Juvenile literature.</t>
  </si>
  <si>
    <t>Top 101 Athletes</t>
  </si>
  <si>
    <t>GV697.A1 -- .T67 2014eb</t>
  </si>
  <si>
    <t>Athletes -- Biography -- Juvenile literature. ; Sports -- Biography -- Juvenile literature.</t>
  </si>
  <si>
    <t>United States Gubernatorial Elections, 1932-1952 : The Official Results by State and County</t>
  </si>
  <si>
    <t>Dubin, Michael J.</t>
  </si>
  <si>
    <t>JK2447 -- .D836 1910eb</t>
  </si>
  <si>
    <t>Governors -- United States -- Election -- History. ; Elections -- United States -- States -- History.</t>
  </si>
  <si>
    <t>The Gun Debate : What Everyone Needs to Know®</t>
  </si>
  <si>
    <t>Cook, Philip J.;Goss, Kristin A.</t>
  </si>
  <si>
    <t>HV7436.C657 2014eb</t>
  </si>
  <si>
    <t>Gun control -- United States. ; Firearms ownership -- United States. ; Firearms -- Law and legislation -- United States.</t>
  </si>
  <si>
    <t>The Counter-Revolution Of 1776 : Slave Resistance and the Origins of the United States of America</t>
  </si>
  <si>
    <t>Horne, Gerald</t>
  </si>
  <si>
    <t>E446.H676 2014eb</t>
  </si>
  <si>
    <t>Essential Interviewing and Counseling Skills : An Integrated Approach to Practice</t>
  </si>
  <si>
    <t>Prout, Tracy;Wadkins, Melanie</t>
  </si>
  <si>
    <t>BF637.I5.P768 2014eb</t>
  </si>
  <si>
    <t>Interviewing. ; Counseling.</t>
  </si>
  <si>
    <t>Hollywood Stunt Performers, 1910s-1970s : A Biographical Dictionary</t>
  </si>
  <si>
    <t>Freese, Gene Scott</t>
  </si>
  <si>
    <t>PN1995.9.S7.F67 201</t>
  </si>
  <si>
    <t>791.4302/8092273 B</t>
  </si>
  <si>
    <t>Stunt performers -- United States -- Biography -- Dictionaries.</t>
  </si>
  <si>
    <t>The Wiley Handbook of Anxiety Disorders</t>
  </si>
  <si>
    <t>Emmelkamp, Paul;Ehring, Thomas</t>
  </si>
  <si>
    <t>RC467.2.W55 2014eb</t>
  </si>
  <si>
    <t>Clinical psychology -- Handbooks, manuals, etc.</t>
  </si>
  <si>
    <t>The Eighteenth Century : 1688-1815</t>
  </si>
  <si>
    <t>Short Oxford History of the British Isles Ser.</t>
  </si>
  <si>
    <t>Langford, Paul</t>
  </si>
  <si>
    <t>DA480.E37 2002eb</t>
  </si>
  <si>
    <t>Great Britain -- History -- 18th century.</t>
  </si>
  <si>
    <t>Classical Greece : 500-323 BC</t>
  </si>
  <si>
    <t>Short Oxford History of Europe Ser.</t>
  </si>
  <si>
    <t>Osborne, Robin</t>
  </si>
  <si>
    <t>DF214.C5 2000eb</t>
  </si>
  <si>
    <t>Greece -- History -- To 146 B.C.</t>
  </si>
  <si>
    <t>Writing Resumes and Cover Letters for Dummies - Australia / NZ</t>
  </si>
  <si>
    <t>McCarthy, Amanda;Southam, Kate</t>
  </si>
  <si>
    <t>HF5383.M33 2008eb</t>
  </si>
  <si>
    <t>Résumés (Employment) -- Australia. ; Applications for positions.</t>
  </si>
  <si>
    <t>Handbook of Spectroscopy</t>
  </si>
  <si>
    <t>Moore, David S.;Gauglitz, G¿nter;Moore, David S.</t>
  </si>
  <si>
    <t>Science: Chemistry; Science</t>
  </si>
  <si>
    <t>QD95 -- .H36 2014eb</t>
  </si>
  <si>
    <t>Spectrum analysis -- Handbooks, manuals, etc. ; Trace analysis -- Methodology.</t>
  </si>
  <si>
    <t>Britannica Student Encyclopedia</t>
  </si>
  <si>
    <t>AG5 -- .B758 2015eb</t>
  </si>
  <si>
    <t>Children's encyclopedias and dictionaries. ; Encyclopedias and dictionaries. ; English language -- Encyclopedias.</t>
  </si>
  <si>
    <t>Writing about Music : A Style Sheet</t>
  </si>
  <si>
    <t>University of California Press</t>
  </si>
  <si>
    <t>Holoman, D. Kern</t>
  </si>
  <si>
    <t>Fine Arts; Literature</t>
  </si>
  <si>
    <t>ML3797.W75 2014</t>
  </si>
  <si>
    <t>808.06/678</t>
  </si>
  <si>
    <t>Music - Historiography - Handbooks, manuals, etc</t>
  </si>
  <si>
    <t>Dictionary of the Ben Cao Gang Mu, Volume 1 : Chinese Historical Illness Terminology</t>
  </si>
  <si>
    <t>Zhang, Zhibin;Unschuld, Paul U.;Zhang, Zhibin</t>
  </si>
  <si>
    <t>Medicine; Pharmacy</t>
  </si>
  <si>
    <t>RS180.C5 -- .B45 2015eb</t>
  </si>
  <si>
    <t>615.3/210951</t>
  </si>
  <si>
    <t>Li, Shizhen, -- 1518-1593. -- Ben cao gang mu. ; Medicine, Chinese -- History -- 16th century. ; Medicine, Chinese -- Dictionaries. ; Materia medica, Vegetable -- China.</t>
  </si>
  <si>
    <t>A Companion to Ethnicity in the Ancient Mediterranean : Companion to Ethnicity in the Ancient Mediterranean</t>
  </si>
  <si>
    <t>McInerney, Jeremy</t>
  </si>
  <si>
    <t>DE73 -- .C66 2014eb</t>
  </si>
  <si>
    <t>Ethnology -- Mediterranean Region. ; Mediterranean Region -- Ethnic identity.</t>
  </si>
  <si>
    <t>Research Methods for Business and Management : A Guide to Writing Your Dissertation</t>
  </si>
  <si>
    <t>Goodfellow Publishers, Limited</t>
  </si>
  <si>
    <t>D O'Gorman, Kevin;MacIntosh, Robert</t>
  </si>
  <si>
    <t>Business Planning Essentials for Dummies</t>
  </si>
  <si>
    <t xml:space="preserve">Curtis, Veechi;Curtis, </t>
  </si>
  <si>
    <t>HD30.28 -- .C878 2014eb</t>
  </si>
  <si>
    <t>Business planning.</t>
  </si>
  <si>
    <t>Fashion</t>
  </si>
  <si>
    <t>Oxford History of Art Ser.</t>
  </si>
  <si>
    <t>Breward, Christopher</t>
  </si>
  <si>
    <t>TT518.B749 2003eb</t>
  </si>
  <si>
    <t>Fashion. ; Fashion -- History. ; Clothing trade. ; Clothing trade -- History. ; Fashion design. ; Fashion design -- History.</t>
  </si>
  <si>
    <t>A Companion to Warren G. Harding, Calvin Coolidge, and Herbert Hoover</t>
  </si>
  <si>
    <t>Sibley, Katherine A. S.</t>
  </si>
  <si>
    <t>E784 -- .C667 2014eb</t>
  </si>
  <si>
    <t>Harding, Warren G. -- (Warren Gamaliel), -- 1865-1923. ; Coolidge, Calvin, -- 1872-1933. ; Hoover, Herbert, -- 1874-1964. ; Depressions -- 1929. ; United States -- History -- 1919-1933. ; United States -- Politics and government -- 1921-1923. ; United States -- Politics and government -- 1923-1929.</t>
  </si>
  <si>
    <t>Unsettled States : Nineteenth-Century American Literary Studies</t>
  </si>
  <si>
    <t>America and the Long 19th Century Ser.</t>
  </si>
  <si>
    <t>Luciano, Dana;Wilson, Ivy</t>
  </si>
  <si>
    <t>PS201 -- .U57 2014eb</t>
  </si>
  <si>
    <t>810.9/003</t>
  </si>
  <si>
    <t>SOCIAL SCIENCE / Discrimination &amp; Race Relations</t>
  </si>
  <si>
    <t>Essential Criminology</t>
  </si>
  <si>
    <t>Lanier, Mark M.;Henry, Stuart;Anastasia, Desire' J. M.</t>
  </si>
  <si>
    <t>HV6025 -- .L25 2015eb</t>
  </si>
  <si>
    <t>Criminology.</t>
  </si>
  <si>
    <t>ABC of Anxiety and Depression</t>
  </si>
  <si>
    <t>ABC Ser.</t>
  </si>
  <si>
    <t>Gask, Linda;Chew-Graham, Carolyn</t>
  </si>
  <si>
    <t>RC537 -- .A236 2014eb</t>
  </si>
  <si>
    <t>Anxiety</t>
  </si>
  <si>
    <t>Guidelines for Reporting Health Research : A User's Manual</t>
  </si>
  <si>
    <t>Moher, David;Altman, Douglas;Schulz, Kenneth;Simera, Iveta;Wager, Elizabeth</t>
  </si>
  <si>
    <t>R850 -- .G853 2014eb</t>
  </si>
  <si>
    <t>610.72/4</t>
  </si>
  <si>
    <t>Medicine -- Research. ; Medicine -- Research -- Evaluation. ; Report writing.</t>
  </si>
  <si>
    <t>A Companion to Martin Scorsese</t>
  </si>
  <si>
    <t>Wiley Blackwell Companions to Film Directors Ser.</t>
  </si>
  <si>
    <t>Baker, Aaron</t>
  </si>
  <si>
    <t>PN1998.3.S39 -- .C64 2015eb</t>
  </si>
  <si>
    <t>Scorsese, Martin -- Criticism and interpretation.</t>
  </si>
  <si>
    <t>Global Studies Encyclopedic Dictionary</t>
  </si>
  <si>
    <t>Brill / Rodopi</t>
  </si>
  <si>
    <t>Value Inquiry Book Ser.</t>
  </si>
  <si>
    <t>Chumakov, Alexander N.;Mazour, Ivan I.;Gay, William C.;Gorbachev, Mikhail</t>
  </si>
  <si>
    <t>JZ1318 -- .G563 2014eb</t>
  </si>
  <si>
    <t>Globalization -- Dictionaries.</t>
  </si>
  <si>
    <t>The Australian Editing Handbook</t>
  </si>
  <si>
    <t>Flann, Elizabeth;Hill, Beryl;Wang, Lan</t>
  </si>
  <si>
    <t>PN162 -- .F536 2014eb</t>
  </si>
  <si>
    <t>Editing -- Handbooks, manuals, etc. ; Publishers and publishing -- Australia -- Handbooks, manuals, etc.</t>
  </si>
  <si>
    <t>A Companion to Greek Democracy and the Roman Republic</t>
  </si>
  <si>
    <t xml:space="preserve">Hammer, Dean;Hammer, Dean </t>
  </si>
  <si>
    <t>JC73 -- .C673 2015eb</t>
  </si>
  <si>
    <t>Greece -- Politics and government -- To 146 B.C. ; Rome -- Politics and government -- 265-30 B.C. ; Greece -- Economic conditions -- To 146 B.C. ; Rome -- Economic conditions -- 510-30 B.C.</t>
  </si>
  <si>
    <t>A Companion to Livy</t>
  </si>
  <si>
    <t>Mineo, Bernard</t>
  </si>
  <si>
    <t>DG207.L583 -- .C66 2015eb</t>
  </si>
  <si>
    <t>937/.02</t>
  </si>
  <si>
    <t>Livy. -- Ab urbe condita -- Criticism and interpretation. ; Rome -- Historiography. ; Rome -- History -- Early works to 1800. ; Rome -- History -- To 510 B.C.</t>
  </si>
  <si>
    <t>Anarchism, Revolution, and Terrorism</t>
  </si>
  <si>
    <t>Political and Economic Systems Ser.</t>
  </si>
  <si>
    <t>Croce, Nicholas;Britannica Educational Publishing Staff</t>
  </si>
  <si>
    <t>HX826 -- .A537 2015eb</t>
  </si>
  <si>
    <t>335/.83</t>
  </si>
  <si>
    <t>Anarchism -- History -- Juvenile literature. ; Revolutions -- History -- Juvenile literature. ; Terrorism -- History -- Juvenile literature.</t>
  </si>
  <si>
    <t>Bands, Tribes, and First Peoples and Nations</t>
  </si>
  <si>
    <t>Barrington, Richard;Wolff, Ariana;Britannica Educational Publishing Staff</t>
  </si>
  <si>
    <t>GN380 -- .B363 2015eb</t>
  </si>
  <si>
    <t>Indigenous peoples -- Juvenile literature. ; Ethnology -- Juvenile literature.</t>
  </si>
  <si>
    <t>Capitalism</t>
  </si>
  <si>
    <t>Smalbach, Richard;Britannica Educational Publishing Staff</t>
  </si>
  <si>
    <t>HB501 -- .C24225415 2015eb</t>
  </si>
  <si>
    <t>330.12/2</t>
  </si>
  <si>
    <t>Capitalism -- Juvenile literature.</t>
  </si>
  <si>
    <t>Democracy</t>
  </si>
  <si>
    <t>Lowery, Zoe;Britannica Educational Publishing Staff</t>
  </si>
  <si>
    <t>JC423 -- .D38124 2015eb</t>
  </si>
  <si>
    <t>Democracy -- Juvenile literature.</t>
  </si>
  <si>
    <t>Socialism and Communism</t>
  </si>
  <si>
    <t>Murphy, John;Britannica Educational Publishing Staff</t>
  </si>
  <si>
    <t>HX36 -- .S635 2015eb</t>
  </si>
  <si>
    <t>Socialism -- History -- Juvenile literature. ; Communism -- History -- Juvenile literature.</t>
  </si>
  <si>
    <t>American Higher Education in Crisis? : What Everyone Needs to Know®</t>
  </si>
  <si>
    <t>Blumenstyk, Goldie</t>
  </si>
  <si>
    <t>LA227.4 -- .B59 2014eb</t>
  </si>
  <si>
    <t>Education, Higher -- United States. ; Universities and colleges -- United States. ; Education, Higher -- Aims and objectives -- United States.</t>
  </si>
  <si>
    <t>Health Humanities Reader</t>
  </si>
  <si>
    <t>Rutgers University Press</t>
  </si>
  <si>
    <t>Jones, Therese;Wear, Delese;Friedman, Lester D.;Vonnegut, Mark;Frank, Arthur W.;Flood, David H.;Soricelli, Rhonda L.;Keränen, Lisa;Sappol, Michael;Wall, Shelley</t>
  </si>
  <si>
    <t>RA418</t>
  </si>
  <si>
    <t>ABC of Arterial and Venous Disease : ABC of Arterial and Venous Disease (3rd Edition)</t>
  </si>
  <si>
    <t>England, Tim;Nasim, Akhtar</t>
  </si>
  <si>
    <t>RC691 -- .A23 2015eb</t>
  </si>
  <si>
    <t>616.1/3</t>
  </si>
  <si>
    <t>Vascular Diseases - therapy</t>
  </si>
  <si>
    <t>The Encyclopedia of Superheroes on Film and Television</t>
  </si>
  <si>
    <t>Muir, John Kenneth</t>
  </si>
  <si>
    <t>PN1995.9.S76 M85 20</t>
  </si>
  <si>
    <t>791.43/652</t>
  </si>
  <si>
    <t>Superhero television programs - United States</t>
  </si>
  <si>
    <t>Gods, Demigods and Demons : An Encyclopedia of Greek Mythology</t>
  </si>
  <si>
    <t>Open Road Integrated Media, Inc.</t>
  </si>
  <si>
    <t>Open Road Media Teen &amp; Tween</t>
  </si>
  <si>
    <t>Evslin, Bernard</t>
  </si>
  <si>
    <t>BL783 .E97 2012</t>
  </si>
  <si>
    <t>Mythology, Greek -- Dictionaries. ; Mythology, Greek -- Encyclopedias.</t>
  </si>
  <si>
    <t>A Book of Emblems : The Emblematum Liber in Latin and English</t>
  </si>
  <si>
    <t>Alciati, Andrea;Moffitt, John F.</t>
  </si>
  <si>
    <t>PN6349 -- .A413 2004eb</t>
  </si>
  <si>
    <t>871/.04</t>
  </si>
  <si>
    <t>Emblems -- Early works to 1800. ; Emblem books.</t>
  </si>
  <si>
    <t>Agricultural and Food Controversies : What Everyone Needs to Know®</t>
  </si>
  <si>
    <t>Norwood, F. Bailey;Oltenacu, Pascal A.;Calvo-Lorenzo, Michelle S.;Lancaster, Sarah</t>
  </si>
  <si>
    <t>Philosophy; Home Economics</t>
  </si>
  <si>
    <t>BJ52.5 -- .A375 2015eb</t>
  </si>
  <si>
    <t>Agriculture -- Moral and ethical aspects. ; Food -- Moral and ethical aspects.</t>
  </si>
  <si>
    <t>Service-Learning Essentials : Questions, Answers, and Lessons Learned</t>
  </si>
  <si>
    <t>Jacoby, Barbara;Howard, Jeffrey</t>
  </si>
  <si>
    <t>LC220.5 -- .J336 2014eb</t>
  </si>
  <si>
    <t>361.3/7</t>
  </si>
  <si>
    <t>Service learning -- United States. ; Education, Higher -- Curricula -- United States.</t>
  </si>
  <si>
    <t>Marine Pollution : What Everyone Needs to Know®</t>
  </si>
  <si>
    <t>Weis, Judith S.</t>
  </si>
  <si>
    <t>Science: Biology/Natural History; Science: Geology; Science</t>
  </si>
  <si>
    <t>GC1085 -- .W45 2015eb</t>
  </si>
  <si>
    <t>Marine pollution. ; Marine ecology.</t>
  </si>
  <si>
    <t>ABC of Hypertension</t>
  </si>
  <si>
    <t>Beevers, D. Gareth;Lip, Gregory Y. H.;O'Brien, Eoin T.</t>
  </si>
  <si>
    <t>RC685.H8 -- .B448 2015eb</t>
  </si>
  <si>
    <t>616.1/32</t>
  </si>
  <si>
    <t>Hypertension.</t>
  </si>
  <si>
    <t>ABC of Transfer and Retrieval Medicine</t>
  </si>
  <si>
    <t>Low, Adam;Hulme, Jonathan</t>
  </si>
  <si>
    <t>RC86.7 -- .A23 2015eb</t>
  </si>
  <si>
    <t>Critical care medicine. ; Transport of sick and wounded.</t>
  </si>
  <si>
    <t>Complete Guide to Christian Quotations : An Indispensable Resource for Writers, Pastors, Teachers, Students--and Anyone Else Who Loves Books</t>
  </si>
  <si>
    <t>Barbour Publishing, Inc.</t>
  </si>
  <si>
    <t>Barbour Books</t>
  </si>
  <si>
    <t>Compiled by Barbour Staff</t>
  </si>
  <si>
    <t>BV4501.3 .C667 2011</t>
  </si>
  <si>
    <t>Christian life-Quotations, maxims, etc. ; Christians-Quotations. ; Christianity-Quotations, maxims, etc.</t>
  </si>
  <si>
    <t>Architectural Styles : A Visual Guide</t>
  </si>
  <si>
    <t>Laurence King Publishing</t>
  </si>
  <si>
    <t>Hopkins, Owen</t>
  </si>
  <si>
    <t>Architecture</t>
  </si>
  <si>
    <t>NA204 -- .H67 2014eb</t>
  </si>
  <si>
    <t>Architecture -- History. ; Decoration and ornament, Architectural -- History.</t>
  </si>
  <si>
    <t>A Companion to Latin Greece</t>
  </si>
  <si>
    <t>Brill's Companions to European History Ser.</t>
  </si>
  <si>
    <t>Tsougarakis, Nickiphoros I.;Lock, Peter</t>
  </si>
  <si>
    <t>949.5/04</t>
  </si>
  <si>
    <t>Major League Baseball Players Of 1916 : A Biographical Dictionary</t>
  </si>
  <si>
    <t>Batesel, Paul</t>
  </si>
  <si>
    <t>GV865.A1 B386 2007</t>
  </si>
  <si>
    <t>Baseball players - United States</t>
  </si>
  <si>
    <t>A Counselor's Guide to Working with Men</t>
  </si>
  <si>
    <t>American Counseling Association</t>
  </si>
  <si>
    <t>Englar-Carlson, Matt;Evans, Marcheta P.;Duffy, Thelma</t>
  </si>
  <si>
    <t>RC451.4.M45 -- C684 2014eb</t>
  </si>
  <si>
    <t>Men -- Counseling of. ; Men -- Mental health. ; Men -- Psychology.</t>
  </si>
  <si>
    <t>Video Atlas of Cleft Lip and Palate Surgery : Life Stories and the Narrative Self</t>
  </si>
  <si>
    <t>Plural Publishing, Incorporated</t>
  </si>
  <si>
    <t>Plural Publishing, Incorporated;Hartnick, Christopher J.;Hamdan, Usama</t>
  </si>
  <si>
    <t>RD524 -- .R644 2014eb</t>
  </si>
  <si>
    <t>617.5/225</t>
  </si>
  <si>
    <t>Otorhinolaryngologic Surgical Procedures - methods</t>
  </si>
  <si>
    <t>Wiley-Blackwell Student Dictionary of Human Evolution</t>
  </si>
  <si>
    <t xml:space="preserve">Wood, Bernard;Wood, Derby Professor and Head of Department of Anatomy Bernard </t>
  </si>
  <si>
    <t>GN281 -- .W554 2015eb</t>
  </si>
  <si>
    <t>599.93/8</t>
  </si>
  <si>
    <t>Human evolution.</t>
  </si>
  <si>
    <t>The Wiley Handbook of Psychology, Technology, and Society</t>
  </si>
  <si>
    <t>Rosen, Larry D.;Cheever, Nancy;Carrier, L. Mark</t>
  </si>
  <si>
    <t>HM1025</t>
  </si>
  <si>
    <t>PSYCHOLOGY / Social Psychology</t>
  </si>
  <si>
    <t>A Companion to Heritage Studies</t>
  </si>
  <si>
    <t>Logan, William;Craith, Máiréad Nic;Kockel, Ullrich;Craith, Máiréad Nic</t>
  </si>
  <si>
    <t>History; Environmental Studies</t>
  </si>
  <si>
    <t>CC135 .C535 2015</t>
  </si>
  <si>
    <t>363.6/9</t>
  </si>
  <si>
    <t>Cultural property. ; Ethnicity. ; Historic sites. ; National characteristics.</t>
  </si>
  <si>
    <t>The Handbook of Bilingual and Multilingual Education</t>
  </si>
  <si>
    <t>Wright, Wayne E.;Boun, Sovicheth;García, Ofelia;García, Ofelia</t>
  </si>
  <si>
    <t>P115.2 .H35 2015</t>
  </si>
  <si>
    <t>404/.2071</t>
  </si>
  <si>
    <t>Bilingualism. ; Education, Bilingual -- Handbooks, manuals, etc. ; Multicultural education -- Handbooks, manuals, etc. ; Multilingualism -- Study and teaching -- Handbooks, manuals, etc. ; Multilingualism.</t>
  </si>
  <si>
    <t>A Companion to Ronald Reagan</t>
  </si>
  <si>
    <t>Johns, Andrew L.</t>
  </si>
  <si>
    <t>E876 -- .C667 2015eb</t>
  </si>
  <si>
    <t>Reagan, Ronald. ; United States -- Politics and government -- 1981-1989. ; United States -- Foreign relations -- 1981-1989.</t>
  </si>
  <si>
    <t>The Concise Encyclopedia of Communication</t>
  </si>
  <si>
    <t>Donsbach, Wolfgang</t>
  </si>
  <si>
    <t>P87.5 -- .C66 2015eb</t>
  </si>
  <si>
    <t>302/.03</t>
  </si>
  <si>
    <t>Communication -- Encyclopedias.</t>
  </si>
  <si>
    <t>The Center for Creative Leadership Handbook of Coaching in Organizations</t>
  </si>
  <si>
    <t>J-B CCL (Center for Creative Leadership) Ser.</t>
  </si>
  <si>
    <t>Riddle, Douglas;Hoole, Emily R.;Gullette, Elizabeth C. D.</t>
  </si>
  <si>
    <t>HD30.4 -- .C383 2015eb</t>
  </si>
  <si>
    <t>658.3/124</t>
  </si>
  <si>
    <t>Executive coaching. ; Leadership. ; Mentoring in business. ; Employees -- Coaching of.</t>
  </si>
  <si>
    <t>A Companion to Contemporary Documentary Film</t>
  </si>
  <si>
    <t xml:space="preserve">Juhasz, Alexandra;Lebow, Alisa;Juhasz, Alexandra ;LeBow, Alisa </t>
  </si>
  <si>
    <t>Journalism; Fine Arts</t>
  </si>
  <si>
    <t>PN1995.9.D6 -- .C543 2015eb</t>
  </si>
  <si>
    <t>070.1/8</t>
  </si>
  <si>
    <t>Documentary films -- History and criticism.</t>
  </si>
  <si>
    <t>A Companion to the Archaeology of Religion in the Ancient World</t>
  </si>
  <si>
    <t>Raja, Rubina;Rüpke, Jörg;Rüpke, Jörg</t>
  </si>
  <si>
    <t>BL1060</t>
  </si>
  <si>
    <t>Archaeology and religion--Middle East.</t>
  </si>
  <si>
    <t>Handbook of Child Psychology and Developmental Science, Theory and Method</t>
  </si>
  <si>
    <t xml:space="preserve">Lerner, Richard M.;Overton, Willis F.;Molenaar, Peter C. M.;Lerner, Richard M ;Overton, Willis F ;Molenaar, Peter C M </t>
  </si>
  <si>
    <t>BF721 -- .H363 2015eb</t>
  </si>
  <si>
    <t>Child psychology.</t>
  </si>
  <si>
    <t>Handbook of Child Psychology and Developmental Science, Cognitive Processes</t>
  </si>
  <si>
    <t xml:space="preserve">Lerner, Richard M.;Liben, Lynn S.;Mueller, Ulrich;Lerner, Richard M ;Liben, Lynn S ;Mueller, Ulrich </t>
  </si>
  <si>
    <t>Handbook of Child Psychology and Developmental Science, Socioemotional Processes</t>
  </si>
  <si>
    <t xml:space="preserve">Lerner, Richard M.;Lamb, Michael E.;Lerner, Richard M ;Lamb, Michael E </t>
  </si>
  <si>
    <t>Handbook of Child Psychology and Developmental Science, Ecological Settings and Processes</t>
  </si>
  <si>
    <t xml:space="preserve">Lerner, Richard M.;Bornstein, Marc H.;Leventhal, Tama;Lerner, Richard M ;Bornstein, Marc H ;Leventhal, Tama </t>
  </si>
  <si>
    <t>BF721 -- .H242 2015eb</t>
  </si>
  <si>
    <t>A Practical Guide to the Science and Practice of Afterschool Programming : New Directions for Youth Development, Number 144</t>
  </si>
  <si>
    <t>J-B MHS Single Issue Mental Health Services Ser.</t>
  </si>
  <si>
    <t xml:space="preserve">Mahoney, Joseph L.;Warner, Gina;Warner, Gina ;Mahoney, Joseph L ;Warner, Gina </t>
  </si>
  <si>
    <t>LC34.4 -- .P73 2014eb</t>
  </si>
  <si>
    <t>Mahoney, Joseph L., -- editor. ; After-school programs -- United States. ; Youth development -- United States. ; Student activities -- United States.</t>
  </si>
  <si>
    <t>Encyclopedia of the Underground Railroad</t>
  </si>
  <si>
    <t>Hudson, J. Blaine</t>
  </si>
  <si>
    <t>E450 .H855 2006</t>
  </si>
  <si>
    <t>973.7/11503</t>
  </si>
  <si>
    <t>Underground Railroad -- Encyclopedias. ; Fugitive slaves -- United States -- History -- Encyclopedias. ; Slavery -- United States -- History -- Encyclopedias.</t>
  </si>
  <si>
    <t>Holy Bingo, the Lingo of Eden, Jumpin' Jehosophat and the Land of Nod : A Dictionary of the Names, Expressions and Folklore of Christianity</t>
  </si>
  <si>
    <t>Harding, Les</t>
  </si>
  <si>
    <t>BS615 .H37 2006</t>
  </si>
  <si>
    <t>Bible -- Miscellanea -- Dictionaries.</t>
  </si>
  <si>
    <t>Lewis Carroll among His Books : A Descriptive Catalogue of the Private Library of Charles L. Dodgson</t>
  </si>
  <si>
    <t>Lovett, Charlie</t>
  </si>
  <si>
    <t>PR4612 .L47 2005</t>
  </si>
  <si>
    <t>Carroll, Lewis, -- 1832-1898 -- Books and reading. ; Carroll, Lewis, -- 1832-1898 -- Library -- Catalogs. ; Private libraries -- England -- Catalogs.</t>
  </si>
  <si>
    <t>Oxford American Handbook of Oncology</t>
  </si>
  <si>
    <t>Lyman, Gary H.</t>
  </si>
  <si>
    <t>RD651.O946 2015eb</t>
  </si>
  <si>
    <t>Neoplasms</t>
  </si>
  <si>
    <t>Annotated Bibliography of Films in Automation, Data Processing, and Computer Science</t>
  </si>
  <si>
    <t>University Press of Kentucky</t>
  </si>
  <si>
    <t>Soloman,  Martin B., Jr.;Lovan, Nora Geraldine</t>
  </si>
  <si>
    <t>Social Science; Computer Science/IT</t>
  </si>
  <si>
    <t>QA76.S59 1967eb</t>
  </si>
  <si>
    <t>Electronic data processing -- Film catalogs. ; Automation -- Film catalogs. ; Computers -- Film catalogs.</t>
  </si>
  <si>
    <t>First Name Reverse Dictionary : Given Names Listed by Meaning (2nd Edition)</t>
  </si>
  <si>
    <t>Navarro, Yvonne</t>
  </si>
  <si>
    <t>CS2377 .N37 2015</t>
  </si>
  <si>
    <t>Names, Personal -- Dictionaries.</t>
  </si>
  <si>
    <t>Venezuela : What Everyone Needs to Know®</t>
  </si>
  <si>
    <t>Tinker Salas, Miguel</t>
  </si>
  <si>
    <t>F2321.T56 2015</t>
  </si>
  <si>
    <t>HISTORY / Latin America / South America</t>
  </si>
  <si>
    <t>At Home in Nineteenth-Century America : A Documentary History</t>
  </si>
  <si>
    <t>Richter, Amy G.</t>
  </si>
  <si>
    <t>E161 .A8 2015</t>
  </si>
  <si>
    <t>United States - Social life and customs - 19th century</t>
  </si>
  <si>
    <t>Psychics, Sensitives and Somnambules : A Biographical Dictionary with Bibliographies</t>
  </si>
  <si>
    <t>Anderson, Rodger I.</t>
  </si>
  <si>
    <t>Psychology; Philosophy</t>
  </si>
  <si>
    <t>BF1026.A53 2006eb</t>
  </si>
  <si>
    <t>133.8092/2 B</t>
  </si>
  <si>
    <t>Psychics</t>
  </si>
  <si>
    <t>Encyclopedia of Nursing Education</t>
  </si>
  <si>
    <t>Smith, Mary Jane;Fitzpatrick, Joyce J.;Carpenter, Roger D.;Smith, Mary Jane, PhD, RN;Carpenter, Roger D., PhD, RN, NE-BC, CNE</t>
  </si>
  <si>
    <t>RT21 -- .E539 2015eb</t>
  </si>
  <si>
    <t>Nursing -- Encyclopedias.</t>
  </si>
  <si>
    <t>Encyclopedia of Mind Enhancing Foods, Drugs and Nutritional Substances</t>
  </si>
  <si>
    <t>Group, David W.</t>
  </si>
  <si>
    <t>RM334 -- .G76 2015eb</t>
  </si>
  <si>
    <t>615/.78</t>
  </si>
  <si>
    <t>Nootropic agents</t>
  </si>
  <si>
    <t>The Handbook of Interior Design</t>
  </si>
  <si>
    <t>Thompson, Jo Ann Asher;Blossom, Nancy</t>
  </si>
  <si>
    <t>NA2850 -- .H365 2015eb</t>
  </si>
  <si>
    <t>Interior architecture. ; Interior architecture -- Philosophy. ; Interior decoration. ; Interior decoration -- Philosophy.</t>
  </si>
  <si>
    <t>Arkham House Books : A Collector's Guide</t>
  </si>
  <si>
    <t>Nielsen, Leon;Abrahams, Barry</t>
  </si>
  <si>
    <t>Literature; Publishing</t>
  </si>
  <si>
    <t>Z473.A68 -- N54 2004eb</t>
  </si>
  <si>
    <t>813/.08766/075</t>
  </si>
  <si>
    <t>Arkham House -- Bibliography. ; Arkham House -- History. ; Fantasy fiction -- Bibliography -- Catalogs. ; Horror tales -- Bibliography -- Catalogs. ; Book collecting -- United States. ; Rare books -- Collectors and collecting -- United States. ; Rare books -- Prices -- United States.</t>
  </si>
  <si>
    <t>Polo Encyclopedia</t>
  </si>
  <si>
    <t>Laffaye, Horace A.</t>
  </si>
  <si>
    <t>GV1011 -- .L345 2015eb</t>
  </si>
  <si>
    <t>Polo -- Encyclopedias. ; Polo -- History -- Encyclopedias.</t>
  </si>
  <si>
    <t>Pynchon Character Names : A Dictionary</t>
  </si>
  <si>
    <t>Hurley, Patrick</t>
  </si>
  <si>
    <t>PS3566.Y55 -- Z665 2008eb</t>
  </si>
  <si>
    <t>Pynchon, Thomas -- Characters -- Dictionaries. ; Characters and characteristics in literature -- Dictionaries. ; Names, Personal, in literature -- Dictionaries.</t>
  </si>
  <si>
    <t>Encyclopedia of Play in Todays Society</t>
  </si>
  <si>
    <t>Carlisle, Rodney P.</t>
  </si>
  <si>
    <t>Fine Arts; Sport &amp;amp; Recreation</t>
  </si>
  <si>
    <t>GV11 -- .E555 2009eb</t>
  </si>
  <si>
    <t>Recreation -- Encyclopedias. ; Leisure -- Encyclopedias.</t>
  </si>
  <si>
    <t>21st Century Economics: a Reference Handbook</t>
  </si>
  <si>
    <t>Free, Rhona C.</t>
  </si>
  <si>
    <t>HB171 -- .A19 2010eb</t>
  </si>
  <si>
    <t>Economics -- Handbooks, manuals, etc. ; Economic policy.</t>
  </si>
  <si>
    <t>Handbook of Global Contemporary Christianity : Themes and Developments in Culture, Politics, and Society</t>
  </si>
  <si>
    <t>Hunt, Stephen J.</t>
  </si>
  <si>
    <t>BR121.3 -- .H363 2015eb</t>
  </si>
  <si>
    <t>270.8/3</t>
  </si>
  <si>
    <t>Christianity -- 21st century.</t>
  </si>
  <si>
    <t>Dictionary of New Testament Background : A Compendium of Contemporary Biblical Scholarship</t>
  </si>
  <si>
    <t>InterVarsity Press</t>
  </si>
  <si>
    <t>The IVP Bible Dictionary Ser.</t>
  </si>
  <si>
    <t>Evans, Craig A.;Porter, Stanley E., Jr.</t>
  </si>
  <si>
    <t>Dictionary of the Old Testament: Pentateuch : A Compendium of Contemporary Biblical Scholarship</t>
  </si>
  <si>
    <t>Alexander, T. Desmond;Baker, David W.</t>
  </si>
  <si>
    <t>The US Special Forces : What Everyone Needs to Know®</t>
  </si>
  <si>
    <t>Prados, John</t>
  </si>
  <si>
    <t>UA34.S64 -- .P733 2015eb</t>
  </si>
  <si>
    <t>356/.160973</t>
  </si>
  <si>
    <t>United States. -- Army. -- Special Forces -- History. ; Special forces (Military science) -- United States -- History.</t>
  </si>
  <si>
    <t>A Companion to the Harlem Renaissance</t>
  </si>
  <si>
    <t>Sherrard-Johnson, Cherene</t>
  </si>
  <si>
    <t>PS153.N5 C577 2015</t>
  </si>
  <si>
    <t>810.9/896073</t>
  </si>
  <si>
    <t>African Americans in popular culture</t>
  </si>
  <si>
    <t>The IVP Bible Background Commentary: Old Testament</t>
  </si>
  <si>
    <t>Walton, John H.;Matthews, Victor H.;Chavalas, Mark W.</t>
  </si>
  <si>
    <t>Pocket Dictionary of Theological Terms</t>
  </si>
  <si>
    <t>The IVP Pocket Reference Ser.</t>
  </si>
  <si>
    <t>Grenz, Stanley J.;Guretzki, David;Nordling, Cherith Fee</t>
  </si>
  <si>
    <t>230/.03</t>
  </si>
  <si>
    <t>Pocket Handbook of Christian Apologetics</t>
  </si>
  <si>
    <t>The IVP Pocket Reference Series</t>
  </si>
  <si>
    <t>Kreeft, Peter;Tacelli, Ronald K.</t>
  </si>
  <si>
    <t>BT1103 -- .K725 2003eb</t>
  </si>
  <si>
    <t>Apologetics.</t>
  </si>
  <si>
    <t>Encyclopedia of African Religion</t>
  </si>
  <si>
    <t>Asante, Molefi Kete;Mazama, Ama</t>
  </si>
  <si>
    <t>BL2400 -- .E53 2009eb</t>
  </si>
  <si>
    <t>Africa -- Religion -- Encyclopedias.</t>
  </si>
  <si>
    <t>Opera : An Encyclopedia of World Premieres and Significant Performances, Singers, Composers, Librettists, Arias and Conductors, 1597-2000</t>
  </si>
  <si>
    <t>Mesa, Franklin</t>
  </si>
  <si>
    <t>ML102.O6.M45 2007</t>
  </si>
  <si>
    <t>Opera--Encyclopedias.</t>
  </si>
  <si>
    <t>The Fourth of July Encyclopedia</t>
  </si>
  <si>
    <t>Heintze, James R.</t>
  </si>
  <si>
    <t>E286 .A1284 2015</t>
  </si>
  <si>
    <t>Fourth of July -- Encyclopedias.</t>
  </si>
  <si>
    <t>A Student's Guide to Textual Criticism of the Bible : Its History, Methods and Results</t>
  </si>
  <si>
    <t>Wegner, Paul D.</t>
  </si>
  <si>
    <t>BS195.N372 .W384 2012</t>
  </si>
  <si>
    <t>220.4/046</t>
  </si>
  <si>
    <t>Bible -- Criticism, Textual. ; Bible -- Language, Style. ; Religion.</t>
  </si>
  <si>
    <t>The Place-Names of Wales</t>
  </si>
  <si>
    <t>University of Wales Press</t>
  </si>
  <si>
    <t>Owen, Hywel Wyn</t>
  </si>
  <si>
    <t>DA734</t>
  </si>
  <si>
    <t>Names, Geographical -- Wales. ; Names, Welsh -- Dictionaries. ; Wales -- History, Local -- Dictionaries.</t>
  </si>
  <si>
    <t>A Biographical Dictionary of Silent Film Western Actors and Actresses</t>
  </si>
  <si>
    <t>Katchmer, George A.;Cary, Diana Serra</t>
  </si>
  <si>
    <t>PN1995.9.W4 .K384 2009</t>
  </si>
  <si>
    <t>791.43/6278/092273 B</t>
  </si>
  <si>
    <t>Motion picture actors and actresses -- United States -- Biography -- Dictionaries. ; Motion picture actors and actresses. ; Western films -- United States -- Dictionaries.</t>
  </si>
  <si>
    <t>Encyclopedia of the Byzantine Empire</t>
  </si>
  <si>
    <t>Lawler, Jennifer</t>
  </si>
  <si>
    <t>DF552</t>
  </si>
  <si>
    <t>949.5/02/03</t>
  </si>
  <si>
    <t>Byzantine Empire - History - Encyclopedias</t>
  </si>
  <si>
    <t>Taking Control of Your Seizures : Therapist Guide</t>
  </si>
  <si>
    <t>Treatments That Work Ser.</t>
  </si>
  <si>
    <t>LaFrance, W. Curt, Jr.;Wincze, Jeffrey Peter;LaFrance, W. Curt</t>
  </si>
  <si>
    <t>RC394 .C77</t>
  </si>
  <si>
    <t>616.8/45</t>
  </si>
  <si>
    <t>Convulsions -- Treatment. ; Seizures -- Diagnosis. ; Seizures -- Therapy.</t>
  </si>
  <si>
    <t>Handbook of Cognitive Linguistics</t>
  </si>
  <si>
    <t>Dabrowska, Ewa;Divjak, Dagmar</t>
  </si>
  <si>
    <t>P165</t>
  </si>
  <si>
    <t>Cognitive grammar. ; Language and languages -- Study and teaching. ; Linguistics. ; Second language acquisition.</t>
  </si>
  <si>
    <t>British Architectural Styles : An Easy Reference Guide</t>
  </si>
  <si>
    <t>Countryside Books</t>
  </si>
  <si>
    <t>Yorke, Trevor</t>
  </si>
  <si>
    <t>NA961 -- .Y67 2008eb</t>
  </si>
  <si>
    <t>Architecture -- Great Britain -- Handbooks, manuals, etc.</t>
  </si>
  <si>
    <t>FBI Encyclopedia</t>
  </si>
  <si>
    <t>Newton, Michael</t>
  </si>
  <si>
    <t>HV8144.F43 N48 2012</t>
  </si>
  <si>
    <t>Criminal investigation -- United States -- Encyclopedias. ; United States. Federal Bureau of Investigation.</t>
  </si>
  <si>
    <t>Baseball Players of The 1950s : A Biographical Dictionary of All 1,560 Major Leaguers</t>
  </si>
  <si>
    <t>Marazzi, Rich;Fiorito, Len</t>
  </si>
  <si>
    <t>GV865.A1 M3316 2009</t>
  </si>
  <si>
    <t>Baseball players -- United States -- Biography -- Dictionaries.</t>
  </si>
  <si>
    <t>A Biographical Dictionary of Major League Baseball Managers</t>
  </si>
  <si>
    <t>GV865.A1 S5158 2011</t>
  </si>
  <si>
    <t>796.357/092/2 B</t>
  </si>
  <si>
    <t>Dictionaries</t>
  </si>
  <si>
    <t>A Companion to Hong Kong Cinema</t>
  </si>
  <si>
    <t>Cheung, Esther M. K.;Marchetti, Gina;Yau, Esther C. M.</t>
  </si>
  <si>
    <t>PN1993.5.H6 C88 2015</t>
  </si>
  <si>
    <t>Documentary films -- China -- Hong Kong -- History and criticism. ; Documentary films -- China. ; Motion pictures -- China -- Hong Kong -- History. ; Motion pictures -- China.</t>
  </si>
  <si>
    <t>World Monetary Units : An Historical Dictionary, Country by Country</t>
  </si>
  <si>
    <t>Berlin, Howard M.</t>
  </si>
  <si>
    <t>HG216 .B465 2008</t>
  </si>
  <si>
    <t>332.4/03</t>
  </si>
  <si>
    <t>Money - History</t>
  </si>
  <si>
    <t>Al Qaeda, the Islamic State, and the Global Jihadist Movement : What Everyone Needs to Know®</t>
  </si>
  <si>
    <t>Byman, Daniel</t>
  </si>
  <si>
    <t>Religion; Social Science</t>
  </si>
  <si>
    <t>BP173.7</t>
  </si>
  <si>
    <t>Islamic fundamentalism. ; Jihad. ; Qaida (Organization). ; War on Terrorism, 2001-2009.</t>
  </si>
  <si>
    <t>A Companion to Ancient Education</t>
  </si>
  <si>
    <t>Bloomer, W. Martin</t>
  </si>
  <si>
    <t>LA71 .C65 2015</t>
  </si>
  <si>
    <t>Education - Rome</t>
  </si>
  <si>
    <t>The Complete Dictionary of Real Estate Terms Explained Simply : What Smart Investors Need to Know</t>
  </si>
  <si>
    <t>Atlantic Publishing Group</t>
  </si>
  <si>
    <t>Atlantic Publishing Group Inc.</t>
  </si>
  <si>
    <t>Haden, Jeff</t>
  </si>
  <si>
    <t>HD1365 .H33 2010</t>
  </si>
  <si>
    <t>Real estate business -- Dictionaries. ; Real estate investment -- Dictionaries. ; Real property -- Dictionaries.</t>
  </si>
  <si>
    <t>The Complete Dictionary of Mortgage &amp; Lending Terms Explained Simply : What Smart Investors Need to Know</t>
  </si>
  <si>
    <t>Atlantic Publishing Group, Atlantic Publishing Group</t>
  </si>
  <si>
    <t>HG2040 .C667 2011</t>
  </si>
  <si>
    <t>332.7/03</t>
  </si>
  <si>
    <t>Mortgage banks-Dictionaries. ; Mortgage loans-Dictionaries.</t>
  </si>
  <si>
    <t>Wall Street Lingo : Thousands of Investment Terms Explained Simply</t>
  </si>
  <si>
    <t>Peterson, Nora</t>
  </si>
  <si>
    <t>HG4513 .P384 2007</t>
  </si>
  <si>
    <t>Finance -- Dictionaries. ; Investments -- Dictionaries. ; Securities -- Dictionaries.</t>
  </si>
  <si>
    <t>The Complete Dictionary of Insurance Terms Explained Simply</t>
  </si>
  <si>
    <t>Samaroo, Melissa</t>
  </si>
  <si>
    <t>Business/Management; Social Science</t>
  </si>
  <si>
    <t>HG8025 .S263 2011</t>
  </si>
  <si>
    <t>Insurance-Dictionaries.</t>
  </si>
  <si>
    <t>The Encyclopedia of Small Business Forms and Agreements : A Complete Kit of Ready-to-Use Business Checklists, Worksheets, Forms, Contracts, and Human Resource Documents</t>
  </si>
  <si>
    <t>Maeda, Martha</t>
  </si>
  <si>
    <t>HF5371 .M343 2011</t>
  </si>
  <si>
    <t>651/.29</t>
  </si>
  <si>
    <t>Small business-United States-Forms. ; Small business-Law and legislation-United States-Forms.</t>
  </si>
  <si>
    <t>The Complete Dictionary of Accounting and Bookkeeping Terms Explained Simply</t>
  </si>
  <si>
    <t>Ferraino, Cindy</t>
  </si>
  <si>
    <t>HF5636 .F47 2011</t>
  </si>
  <si>
    <t>Accounting -- Dictionaries. ; Bookkeeping -- Dictionaries. ; Terms and phrases.</t>
  </si>
  <si>
    <t>Legal Executions in Delaware, the District of Columbia, Maryland, Virginia and West Virginia : A Comprehensive Registry, 1866-1962</t>
  </si>
  <si>
    <t>Hearn, Daniel Allen</t>
  </si>
  <si>
    <t>HV8699.U6M5544 2015</t>
  </si>
  <si>
    <t>364.660975/09041</t>
  </si>
  <si>
    <t>Executions and executioners - Middle Atlantic States</t>
  </si>
  <si>
    <t>Invitation to Theology : A Guide to Study, Conversation and Practice</t>
  </si>
  <si>
    <t>Jinkins, Michael</t>
  </si>
  <si>
    <t>BT77.3 .J56 2015</t>
  </si>
  <si>
    <t>230/.071</t>
  </si>
  <si>
    <t>Theology, Doctrinal - Study and teaching</t>
  </si>
  <si>
    <t>Encyclopedia of Sexually Transmitted Diseases</t>
  </si>
  <si>
    <t>Moore, Elaine A.;Moore, Lisa Marie</t>
  </si>
  <si>
    <t>RC200.1 .M66 2008</t>
  </si>
  <si>
    <t>616.95/1/003</t>
  </si>
  <si>
    <t>Sexually transmitted diseases</t>
  </si>
  <si>
    <t>English Language Bible Translators</t>
  </si>
  <si>
    <t>Paul, William E.</t>
  </si>
  <si>
    <t>BS455 .P28 2009</t>
  </si>
  <si>
    <t>220.5/2/00922 B</t>
  </si>
  <si>
    <t>Bible. English -- Versions -- History. ; Translators -- Biography -- Dictionaries.</t>
  </si>
  <si>
    <t>Popes and Cardinals of the 20th Century : A Biographical Dictionary</t>
  </si>
  <si>
    <t>McFarland &amp; Company, Inc., Publishers</t>
  </si>
  <si>
    <t>Lentz, Harris M. III</t>
  </si>
  <si>
    <t>BX1389 .L395 2009</t>
  </si>
  <si>
    <t>Cardinals</t>
  </si>
  <si>
    <t>The Conflict in Ukraine : What Everyone Needs to Know®</t>
  </si>
  <si>
    <t>Yekelchyk, Serhy</t>
  </si>
  <si>
    <t>DK508.846 .Y45 2015</t>
  </si>
  <si>
    <t>Regionalism - Political aspects - Ukraine</t>
  </si>
  <si>
    <t>The Books of Jeu and the Pistis Sophia As Handbooks to Eternity : Exploring the Gnostic Mysteries of the Ineffable</t>
  </si>
  <si>
    <t>Nag Hammadi and Manichaean Studies</t>
  </si>
  <si>
    <t>Evans, Erin</t>
  </si>
  <si>
    <t>BT1390 .E935 2015</t>
  </si>
  <si>
    <t>299/.932</t>
  </si>
  <si>
    <t>Books of Jeu^. ; Gnosticism. ; Pistis Sophia.</t>
  </si>
  <si>
    <t>Brill's Companion to Roman Tragedy</t>
  </si>
  <si>
    <t>Harrison, George W. M.</t>
  </si>
  <si>
    <t>872/.0109</t>
  </si>
  <si>
    <t>Handbook of Practical Program Evaluation</t>
  </si>
  <si>
    <t>Essential Texts for Nonprofit and Public Leadership and Management Ser.</t>
  </si>
  <si>
    <t>Hatry, Harry P.;Newcomer, Kathryn E.;Wholey, Joseph S.</t>
  </si>
  <si>
    <t>H97</t>
  </si>
  <si>
    <t>Policy sciences. ; Political planning -- Evaluation. ; Political planning. ; Program Evaluation.</t>
  </si>
  <si>
    <t>Legal Executions in New England : A Comprehensive Reference, 1623-1960</t>
  </si>
  <si>
    <t>HV8699.U5 H388 2008</t>
  </si>
  <si>
    <t>Executions and executioners -- New York (State) -- History -- Chronology.</t>
  </si>
  <si>
    <t>Russian-English Dictionary of Proverbs and Sayings</t>
  </si>
  <si>
    <t>Margulis, Alexander;Kholodnaya, Asya</t>
  </si>
  <si>
    <t>Social Science; Literature</t>
  </si>
  <si>
    <t>PN6505.S5 M34 2008</t>
  </si>
  <si>
    <t>Proverbs, Russian - English</t>
  </si>
  <si>
    <t>Hospital Ships of World War II : An Illustrated Reference to 39 United States Military Vessels</t>
  </si>
  <si>
    <t>Massman, Emory A.</t>
  </si>
  <si>
    <t>D807.U6 M38 2007</t>
  </si>
  <si>
    <t>940.54/5973</t>
  </si>
  <si>
    <t>Medical care</t>
  </si>
  <si>
    <t>The Multicultural Dictionary of Proverbs : Over 20,000 Adages from More Than 120 Languages, Nationalities and Ethnic Groups</t>
  </si>
  <si>
    <t>Cordry, Harold V.</t>
  </si>
  <si>
    <t>Proverbs</t>
  </si>
  <si>
    <t>Brill's Companion to Ancient Greek Scholarship (2 Vols. )</t>
  </si>
  <si>
    <t>Montanari, Franco;Matthaios, Stefanos;Rengakos, Antonios</t>
  </si>
  <si>
    <t>ADHD : What Everyone Needs to Know®</t>
  </si>
  <si>
    <t>Hinshaw, Stephen P.;Ellison, Katherine</t>
  </si>
  <si>
    <t>RJ506.H9 H58 2015</t>
  </si>
  <si>
    <t>618.92/8589</t>
  </si>
  <si>
    <t>Attention-deficit hyperactivity disorder</t>
  </si>
  <si>
    <t>Brill's Companion to Propertius</t>
  </si>
  <si>
    <t>Günther, Hans-Christian</t>
  </si>
  <si>
    <t>PA6646.B755 2006</t>
  </si>
  <si>
    <t>Brill's Companion to Thucydides</t>
  </si>
  <si>
    <t>Tsakmakis, Antonis;Rengakos, Antonios</t>
  </si>
  <si>
    <t>DF229.T6B75 2006</t>
  </si>
  <si>
    <t>938/.05</t>
  </si>
  <si>
    <t>Thucydides. -- History of the Peloponnesian War. ; Greece -- History -- Peloponnesian War, 431-404 B.C. -- Historiography.</t>
  </si>
  <si>
    <t>Warfare and Armed Conflicts : A Statistical Encyclopedia of Casualty and Other Figures, 1494-2000</t>
  </si>
  <si>
    <t>McFarland &amp; Company</t>
  </si>
  <si>
    <t>Clodfelter, Micheal</t>
  </si>
  <si>
    <t>D214 -- .C54 2008eb</t>
  </si>
  <si>
    <t>904/.7</t>
  </si>
  <si>
    <t>Military history, Modern -- Encyclopedias. ; Military history, Modern -- Statistics.</t>
  </si>
  <si>
    <t>Legal Executions in North Carolina and South Carolina : A Comprehensive Registry, 1866-1962</t>
  </si>
  <si>
    <t>HV8699.U5 -- .H437 2015eb</t>
  </si>
  <si>
    <t>364.6609756/0904</t>
  </si>
  <si>
    <t>Executions and executioners - South Carolina - History</t>
  </si>
  <si>
    <t>Encyclopedia of Time : Science, Philosophy, Theology, and Culture</t>
  </si>
  <si>
    <t>Birx, H. James</t>
  </si>
  <si>
    <t>BD638 -- .E525 2009eb</t>
  </si>
  <si>
    <t>Time -- Encyclopedias.</t>
  </si>
  <si>
    <t>American Jewish History : A JPS Guide</t>
  </si>
  <si>
    <t>Jewish Publication Society</t>
  </si>
  <si>
    <t>Finkelstein, Norman H.</t>
  </si>
  <si>
    <t>E184.35 -- .F565 2007eb</t>
  </si>
  <si>
    <t>973/.04924</t>
  </si>
  <si>
    <t>Jews -- United States -- History. ; United States -- Ethnic relations.</t>
  </si>
  <si>
    <t>Antiwar Dissent and Peace Activism in World War I America : A Documentary Reader</t>
  </si>
  <si>
    <t>Nebraska</t>
  </si>
  <si>
    <t>University of Nebraska Press</t>
  </si>
  <si>
    <t>Bennett, Scott H.;Howlett, Charles F.;Bennett, Scott H.;Howlett, Charles F.</t>
  </si>
  <si>
    <t>D639.P77 -- .A58 2014eb</t>
  </si>
  <si>
    <t>World War, 1914-1918 -- Protest movements -- United States. ; Peace movements -- United States -- History -- 20th century. ; Dissenters -- United States -- History -- 20th century. ; World War, 1914-1918 -- United States.</t>
  </si>
  <si>
    <t>The Federal Reserve : What Everyone Needs to Know®</t>
  </si>
  <si>
    <t>Axilrod, Stephen H.</t>
  </si>
  <si>
    <t>HG2563 -- .A95 2013eb</t>
  </si>
  <si>
    <t>Board of Governors of the Federal Reserve System (U.S.) ; Federal Reserve banks. ; Monetary policy -- United States. ; United States -- Economic policy.</t>
  </si>
  <si>
    <t>Water Dictionary : A Comprehensive Reference of Water Terminology</t>
  </si>
  <si>
    <t>American Water Works Association</t>
  </si>
  <si>
    <t>AWWA Staff;Symons, James M</t>
  </si>
  <si>
    <t>Engineering: Environmental; Engineering</t>
  </si>
  <si>
    <t>TD208 -- .D75 2010eb</t>
  </si>
  <si>
    <t>Drinking water -- Dictionaries. ; Water-supply -- Dictionaries. ; Water treatment plants -- Dictionaries.</t>
  </si>
  <si>
    <t>Dictionary of Philosophy (English – Spanish || Spanish – English)  Diccionario de Filosofía (Español – Inglés || Inglés – Español)</t>
  </si>
  <si>
    <t>Editorial Castilla La Vieja</t>
  </si>
  <si>
    <t>Hornak, Kenneth Allen</t>
  </si>
  <si>
    <t>B40.H67 2013</t>
  </si>
  <si>
    <t>Philosophy--Dictionaries.</t>
  </si>
  <si>
    <t>Labor Guide to Labor Law</t>
  </si>
  <si>
    <t>Cornell University Press</t>
  </si>
  <si>
    <t>ILR Press</t>
  </si>
  <si>
    <t>Feldacker, Bruce S.;Hayes, Michael J.</t>
  </si>
  <si>
    <t>KF3369</t>
  </si>
  <si>
    <t>Labor laws and legislation -- United States. ; Labor unions -- Law and legislation -- United States.</t>
  </si>
  <si>
    <t>Orchids of Tropical America : An Introduction and Guide</t>
  </si>
  <si>
    <t>Comstock Publishing Associates</t>
  </si>
  <si>
    <t xml:space="preserve">Meisel, Joe E.;Kaufmann, Ronald S.;Pupulin, Franco;Cribb, Phillip J. </t>
  </si>
  <si>
    <t>Science; Science: Botany</t>
  </si>
  <si>
    <t>QK495</t>
  </si>
  <si>
    <t>584/.4098</t>
  </si>
  <si>
    <t>Orchids -- Latin America. ; Orchids -- Tropics.</t>
  </si>
  <si>
    <t>Handbook of Energy Audits</t>
  </si>
  <si>
    <t>The Fairmont Press, Inc.</t>
  </si>
  <si>
    <t>Thumann, Albert;Niehus, Terry;Younger, William J.</t>
  </si>
  <si>
    <t>Engineering: Mechanical; Engineering; Business/Management</t>
  </si>
  <si>
    <t>TJ163.245 -- .T486 2013eb</t>
  </si>
  <si>
    <t>658.2/6</t>
  </si>
  <si>
    <t>Energy auditing -- Handbooks, manuals, etc.</t>
  </si>
  <si>
    <t>Energy Management Handbook</t>
  </si>
  <si>
    <t>Doty, Steve;Turner, Wayne</t>
  </si>
  <si>
    <t>Engineering: Mechanical; Environmental Studies; Economics; Engineering</t>
  </si>
  <si>
    <t>TJ163.2 -- .D689 2013eb</t>
  </si>
  <si>
    <t>Power resources -- Handbooks, manuals, etc. ; Energy conservation -- Handbooks, manuals, etc.</t>
  </si>
  <si>
    <t>Energy Conservation Guidebook</t>
  </si>
  <si>
    <t>Patrick, Dale R.;Fardo, Stephen W.;Richardson, Ray E.;Fardo, Brian W</t>
  </si>
  <si>
    <t>Engineering: Construction; Engineering; Engineering: Mechanical</t>
  </si>
  <si>
    <t>TJ163.3 -- .E547 2014eb</t>
  </si>
  <si>
    <t>Energy conservation -- Handbooks, manuals, etc.</t>
  </si>
  <si>
    <t>Encyclopedia of Prisoners of War and Internment</t>
  </si>
  <si>
    <t>Grey House Publishing</t>
  </si>
  <si>
    <t>Vance, Jonathan</t>
  </si>
  <si>
    <t>UB800 -- .E53 2006eb</t>
  </si>
  <si>
    <t>355.1/13</t>
  </si>
  <si>
    <t>Prisoners of war -- Encyclopedias. ; Concentration camps -- Encyclopedias.</t>
  </si>
  <si>
    <t>Encyclopedia of Warrior Peoples and Fighting Groups</t>
  </si>
  <si>
    <t>Davis, Paul K.;Hamilton, Allen Lee</t>
  </si>
  <si>
    <t>Military Science; History</t>
  </si>
  <si>
    <t>D25.9 -- .D38 2006eb</t>
  </si>
  <si>
    <t>Military history -- Encyclopedias.</t>
  </si>
  <si>
    <t>Encyclopedia of Invasions and Conquests : From Ancient Times to the Present</t>
  </si>
  <si>
    <t>Davis, Paul K.</t>
  </si>
  <si>
    <t>D25.A2 -- D38 2006eb</t>
  </si>
  <si>
    <t>355/.003</t>
  </si>
  <si>
    <t>African Biographical Dictionary</t>
  </si>
  <si>
    <t>Brockman, Norbert</t>
  </si>
  <si>
    <t>DT18 -- .B76 2006eb</t>
  </si>
  <si>
    <t>Africa -- Biography -- Dictionaries. ; Afrique -- Biographies -- Dictionnaires anglais. ; Biography ; Africa</t>
  </si>
  <si>
    <t>Encyclopedia of African-American Writing (2nd Edition)</t>
  </si>
  <si>
    <t>Hatch, Sherry</t>
  </si>
  <si>
    <t>PS153.N5 -- A3444 2009eb</t>
  </si>
  <si>
    <t>American literature -- African American authors -- Encyclopedias. ; African Americans -- Intellectual life -- Encyclopedias. ; African American authors -- Biography -- Encyclopedias. ; African Americans in literature -- Encyclopedias.</t>
  </si>
  <si>
    <t>Comparative Guide to American Suburbs</t>
  </si>
  <si>
    <t>Garoogin, David</t>
  </si>
  <si>
    <t>HA203 -- .C66 2014eb</t>
  </si>
  <si>
    <t>Suburbs -- Ratings and rankings -- United States. ; Suburbs -- United States -- Statistics. ; Cities and towns -- Ratings and rankings -- United States.</t>
  </si>
  <si>
    <t>Quintessential Searcher : The Wit and Wisdom of Barbara Quint</t>
  </si>
  <si>
    <t>Information Today, Inc.</t>
  </si>
  <si>
    <t>Block, Marylaine</t>
  </si>
  <si>
    <t>Computer Science/IT; Library Science</t>
  </si>
  <si>
    <t>Z699.35.O55 -- Q56 2001eb</t>
  </si>
  <si>
    <t>004.0207;025.04/0207</t>
  </si>
  <si>
    <t>Quint, Barbara. ; Online bibliographic searching. ; Electronic information resource searching.</t>
  </si>
  <si>
    <t>Encyclopedia of Ancient Christianity</t>
  </si>
  <si>
    <t>Di Berardino, Angelo;Oden, Thomas C.;Elowsky, Joel C.</t>
  </si>
  <si>
    <t>BR66.5 -- .E539 2014eb</t>
  </si>
  <si>
    <t>Christian literature, Early -- Dictionaries. ; Church history -- Primitive and early church, ca. 30-600 -- Dictionaries.</t>
  </si>
  <si>
    <t>Zooplankton of the Atlantic and Gulf Coasts : A Guide to Their Identification and Ecology</t>
  </si>
  <si>
    <t>Johns Hopkins University Press</t>
  </si>
  <si>
    <t>Johnson, William S.;Allen, Dennis M.;Fylling, Marni</t>
  </si>
  <si>
    <t>QL123.J649 2012</t>
  </si>
  <si>
    <t>592.177/6</t>
  </si>
  <si>
    <t>Squirrels of the World</t>
  </si>
  <si>
    <t>Thorington, Richard W., Jr.;Koprowski, John L.;Steele, Michael A.</t>
  </si>
  <si>
    <t>Origins of Mathematical Words : A Comprehensive Dictionary of Latin, Greek, and Arabic Roots</t>
  </si>
  <si>
    <t>Lo Bello, Anthony</t>
  </si>
  <si>
    <t>The Johns Hopkins Guide to Digital Media</t>
  </si>
  <si>
    <t>Ryan, Marie-Laure;Emerson, Lori;Robertson, Benjamin J.</t>
  </si>
  <si>
    <t>P90.J5575 2013eb</t>
  </si>
  <si>
    <t>Freshwater Fishes of North America : Volume 1: Petromyzontidae to Catostomidae</t>
  </si>
  <si>
    <t>Warren, Melvin L., Jr.;Burr, Brooks M.;Tomelleri, Joseph R.</t>
  </si>
  <si>
    <t>Science: Zoology; Environmental Studies</t>
  </si>
  <si>
    <t>The Siddhāntasundara of Jñānarāja : An English Translation with Commentary</t>
  </si>
  <si>
    <t>Knudsen, Toke Lindegaard</t>
  </si>
  <si>
    <t>BF1714.H5.K583 2014</t>
  </si>
  <si>
    <t>Power and Succession in Arab Monarchies : A Reference Guide</t>
  </si>
  <si>
    <t>Lynne Rienner Publishers</t>
  </si>
  <si>
    <t>Kéchichian, Joseph A.</t>
  </si>
  <si>
    <t>JQ1840 -- .K434 2008eb</t>
  </si>
  <si>
    <t>321/.6</t>
  </si>
  <si>
    <t>Monarchy -- Persian Gulf Region -- Case studies. ; Political stability -- Persian Gulf Region -- Case studies. ; Petroleum industry and trade -- Government policy -- Persian Gulf Region -- Case studies. ; Petroleum industry and trade -- Political aspects -- Persian Gulf Region -- Case studies. ; Persian Gulf Region -- Politics and government -- 21st century -- Case studies.</t>
  </si>
  <si>
    <t>Biographical Dictionary of Modern Egypt</t>
  </si>
  <si>
    <t>Goldschmidt, Arthur Jr.</t>
  </si>
  <si>
    <t>DT97 -- .G653 2000eb</t>
  </si>
  <si>
    <t>Egypt -- History -- 1517-1882 -- Biography -- Dictionaries. ; Egypt -- History -- 1798- -- Biography -- Dictionaries.</t>
  </si>
  <si>
    <t>Encyclopedia of the Israeli-Palestinian Conflict</t>
  </si>
  <si>
    <t>Rubenberg, Cheryl A.</t>
  </si>
  <si>
    <t>DS119.7 -- .E568 2010eb</t>
  </si>
  <si>
    <t>Arab-Israeli conflict -- Encyclopedias. ; Jewish-Arab relations -- History -- Encyclopedias. ; Israel -- Politics and government -- Encyclopedias. ; Palestine -- Politics and government -- 1948- -- Encyclopedias.</t>
  </si>
  <si>
    <t>Encyclopedia of Earth and Physical Sciences (2nd Edition)</t>
  </si>
  <si>
    <t>Marshall Cavendish</t>
  </si>
  <si>
    <t>Ethridge, Frank G.;Franceschetti, Donald R.</t>
  </si>
  <si>
    <t>Science: Geology; Science: General; Science</t>
  </si>
  <si>
    <t>QE5 -- .E513 2005eb</t>
  </si>
  <si>
    <t>500.2/03</t>
  </si>
  <si>
    <t>Earth sciences -- Encyclopedias. ; Physical sciences -- Encyclopedias.</t>
  </si>
  <si>
    <t>Great World Writers : Twentieth Century</t>
  </si>
  <si>
    <t xml:space="preserve">O'Neil, Patrick M.;O'Neil, Patrick M. </t>
  </si>
  <si>
    <t>PN771 -- .G73 2004eb</t>
  </si>
  <si>
    <t>809/.04 B</t>
  </si>
  <si>
    <t>Literature, Modern -- 20th century -- Bio-bibliography -- Dictionaries. ; Authors -- 20th century -- Biography -- Dictionaries. ; Literature, Modern -- 20th century -- History and criticism.</t>
  </si>
  <si>
    <t>Encyclopedia of Health</t>
  </si>
  <si>
    <t>Kinsey, Brian;Ellis, Lesley</t>
  </si>
  <si>
    <t>RC81.A2 -- E52 2010eb</t>
  </si>
  <si>
    <t>Medicine, Popular -- Encyclopedias. ; Health -- Encyclopedias.</t>
  </si>
  <si>
    <t>Encyclopedia of the Aquatic World</t>
  </si>
  <si>
    <t>Jackson, John</t>
  </si>
  <si>
    <t>QH90.2 -- .E53 2004eb</t>
  </si>
  <si>
    <t>578.76/03</t>
  </si>
  <si>
    <t>Aquatic organisms -- Encyclopedias.</t>
  </si>
  <si>
    <t>Encyclopedia of Life Sciences</t>
  </si>
  <si>
    <t>Reference</t>
  </si>
  <si>
    <t>O'Daly, Anne</t>
  </si>
  <si>
    <t>QH302.5 -- .E53 2004eb</t>
  </si>
  <si>
    <t>570/.3</t>
  </si>
  <si>
    <t>Life sciences -- Encyclopedias. ; Biology -- Encyclopedias.</t>
  </si>
  <si>
    <t>Essentials of Programming Languages, Third Edition</t>
  </si>
  <si>
    <t>MIT Press</t>
  </si>
  <si>
    <t>Friedman, Daniel P.;Wand, Mitchell</t>
  </si>
  <si>
    <t>QA76.7.F73 2008</t>
  </si>
  <si>
    <t>Programming languages (Electronic computers)</t>
  </si>
  <si>
    <t>Networked : The New Social Operating System</t>
  </si>
  <si>
    <t>The MIT Press Ser.</t>
  </si>
  <si>
    <t>Rainie, Lee;Wellman, Barry</t>
  </si>
  <si>
    <t>Computer Science/IT; Social Science</t>
  </si>
  <si>
    <t>HM741 -- .R35 2012eb</t>
  </si>
  <si>
    <t>006.7/54</t>
  </si>
  <si>
    <t>Internet - Social aspects</t>
  </si>
  <si>
    <t>Computing : A Concise History</t>
  </si>
  <si>
    <t>The MIT Press Essential Knowledge Ser.</t>
  </si>
  <si>
    <t>Ceruzzi, Paul E.</t>
  </si>
  <si>
    <t>Algorithms Unlocked</t>
  </si>
  <si>
    <t>Cormen, Thomas H.;Sussman, Julie</t>
  </si>
  <si>
    <t>QA76.9.A43 -- C685 2013eb</t>
  </si>
  <si>
    <t>Computer algorithms</t>
  </si>
  <si>
    <t>Moving Innovation : A History of Computer Animation</t>
  </si>
  <si>
    <t>Sito, Tom</t>
  </si>
  <si>
    <t>TR897.7 -- .S48 2013eb</t>
  </si>
  <si>
    <t>Computer animation -- History. ; Animation (Cinematography) -- History.</t>
  </si>
  <si>
    <t>Crowdsourcing</t>
  </si>
  <si>
    <t>Brabham, Daren C.</t>
  </si>
  <si>
    <t>QA76.9.H84 -- B73 2013eb</t>
  </si>
  <si>
    <t>Human computation</t>
  </si>
  <si>
    <t>Matter and Consciousness, Third Edition</t>
  </si>
  <si>
    <t>Churchland, Paul M.</t>
  </si>
  <si>
    <t>BF431 -- .C487 2013eb</t>
  </si>
  <si>
    <t>128/.2</t>
  </si>
  <si>
    <t>Philosophy of mind. ; Intellect. ; Consciousness. ; Cognition. ; Artificial intelligence. ; Neurology.</t>
  </si>
  <si>
    <t>Memes in Digital Culture</t>
  </si>
  <si>
    <t>Shifman, Limor</t>
  </si>
  <si>
    <t>The New Visual Neurosciences</t>
  </si>
  <si>
    <t>Werner, John S.;Chalupa, Leo M.;Jr., Edward N. Pugh;Burns, Marie E.;Baehr, Wolfgang;Constantine, Ryan;Zhang, Houbin;Frederick, Jeanne M.;Ruggiero, Linda;Finnemann, Silvia</t>
  </si>
  <si>
    <t>QP475 -- .N493 2014eb</t>
  </si>
  <si>
    <t>Visual pathways</t>
  </si>
  <si>
    <t>Big Ideas in Macroeconomics : A Nontechnical View</t>
  </si>
  <si>
    <t>Athreya, Kartik B.</t>
  </si>
  <si>
    <t>HB172.5 -- A789 2013eb</t>
  </si>
  <si>
    <t>Macroeconomics. ; Economics.</t>
  </si>
  <si>
    <t>Visual Insights : A Practical Guide to Making Sense of Data</t>
  </si>
  <si>
    <t>Börner, Katy;Polley, David E.</t>
  </si>
  <si>
    <t>Computer Science/IT; General Works/Reference</t>
  </si>
  <si>
    <t>QA76.9.I52 -- B67 2014eb</t>
  </si>
  <si>
    <t>001.4/226028566</t>
  </si>
  <si>
    <t>Information visualization. ; Visualization -- Data processing. ; Data mining -- Computer programs. ; Computer graphics. ; MOOCs (Web-based instruction) ; Distance education -- Computer-assisted instruction. ; Internet in education.</t>
  </si>
  <si>
    <t>The Copyright Book, Sixth Edition : A Practical Guide</t>
  </si>
  <si>
    <t>Strong, William S.</t>
  </si>
  <si>
    <t>KF2994 -- .S75 2014eb</t>
  </si>
  <si>
    <t>346.7304/82</t>
  </si>
  <si>
    <t>Copyright -- United States.</t>
  </si>
  <si>
    <t>The Conscious Mind</t>
  </si>
  <si>
    <t>Torey, Zoltan</t>
  </si>
  <si>
    <t>BF311 -- .T6548 2014eb</t>
  </si>
  <si>
    <t>Cognition. ; Consciousness. ; Brain.</t>
  </si>
  <si>
    <t>Understanding Beliefs</t>
  </si>
  <si>
    <t>Nilsson, Nils J.</t>
  </si>
  <si>
    <t>BD215 -- .N55 2014eb</t>
  </si>
  <si>
    <t>121/.6</t>
  </si>
  <si>
    <t>Belief and doubt.</t>
  </si>
  <si>
    <t>MOOCs</t>
  </si>
  <si>
    <t>Haber, Jonathan</t>
  </si>
  <si>
    <t>LB1044.87 -- .H27 2014eb</t>
  </si>
  <si>
    <t>MOOCs (Web-based instruction) ; Distance education. ; Web-based instruction. ; Computer-assisted instruction. ; Educational technology.</t>
  </si>
  <si>
    <t>Understanding Global Crises : An Emerging Paradigm</t>
  </si>
  <si>
    <t>Razin, Assaf</t>
  </si>
  <si>
    <t>HB3722 -- .R39 2014eb</t>
  </si>
  <si>
    <t>338.5/42</t>
  </si>
  <si>
    <t>Financial crises</t>
  </si>
  <si>
    <t>Processing : A Programming Handbook for Visual Designers and Artists</t>
  </si>
  <si>
    <t>Reas, Casey;Fry, Ben</t>
  </si>
  <si>
    <t>QA76.6.R4138 2014eb</t>
  </si>
  <si>
    <t>Video Games Around the World</t>
  </si>
  <si>
    <t>Wolf, Mark J. P.;Iwatani, Toru;Ahmadi, Ahmad;Alves, Lynn Rosalina Gama;Apperley, Tom;Arsenault, Dominic;Averbuj, Guillermo;Beregi, Tamás;Blanchet, Alexis;Budziszewski, P. Konrad</t>
  </si>
  <si>
    <t>GV1469.3 -- .V534 2015eb</t>
  </si>
  <si>
    <t>Video games. ; Video games -- Cross-cultural studies.</t>
  </si>
  <si>
    <t>Marketing Scales Handbook : Multi-Item Measures for Consumer Insight Research, Volume 7</t>
  </si>
  <si>
    <t>GCBII Productions, LLC</t>
  </si>
  <si>
    <t>Marketing Scales Handbooks Ser.</t>
  </si>
  <si>
    <t>Bruner II, Gordon C.</t>
  </si>
  <si>
    <t>Business/Management; General Works/Reference</t>
  </si>
  <si>
    <t>Marketing Scales Handbook : A Compilation of Multi-Item Measures for Consumer Behavior and Advertising Research, Volume 6</t>
  </si>
  <si>
    <t>Business/Management; Psychology</t>
  </si>
  <si>
    <t>No-Nonsense Guide to World Poverty</t>
  </si>
  <si>
    <t>New Internationalist</t>
  </si>
  <si>
    <t>No-Nonsense Guides</t>
  </si>
  <si>
    <t>Seabrook, Jeremy</t>
  </si>
  <si>
    <t>HC79.P6 -- S37 2007eb</t>
  </si>
  <si>
    <t>Poverty. ; Economic history.</t>
  </si>
  <si>
    <t>No-Nonsense Guide to Science</t>
  </si>
  <si>
    <t>Ravetz, Jerome</t>
  </si>
  <si>
    <t>Q162 -- .R38 2006eb</t>
  </si>
  <si>
    <t>Science. ; Science -- Social aspects.</t>
  </si>
  <si>
    <t>No-Nonsense Guide to Islam</t>
  </si>
  <si>
    <t>Davies, Merryl Wyn;Sardar, Ziauddin</t>
  </si>
  <si>
    <t>BP161.3 -- .S37 2007eb</t>
  </si>
  <si>
    <t>Islam. ; Religions.</t>
  </si>
  <si>
    <t>No-Nonsense Guide to Human Rights</t>
  </si>
  <si>
    <t>Ball, Olivia;Gready, Paul</t>
  </si>
  <si>
    <t>JC571 -- .B35 2006eb</t>
  </si>
  <si>
    <t>Human rights. ; Human security.</t>
  </si>
  <si>
    <t>No-Nonsense Guide to World Health</t>
  </si>
  <si>
    <t>Usdin, Shereen</t>
  </si>
  <si>
    <t>RA441 -- .U84 2007eb</t>
  </si>
  <si>
    <t>World health. ; World health. ; Medical policy. ; Public health -- Social aspects.</t>
  </si>
  <si>
    <t>No-Nonsense Guide to Tourism</t>
  </si>
  <si>
    <t>Nowicka, Pamela</t>
  </si>
  <si>
    <t>Economics; Tourism/Hospitality</t>
  </si>
  <si>
    <t>G155.A1 -- N67 2007eb</t>
  </si>
  <si>
    <t>Tourism. ; Tourism -- Social aspects. ; Ecotourism.</t>
  </si>
  <si>
    <t>No-Nonsense Guide to Sexual Diversity</t>
  </si>
  <si>
    <t>Baird, Vanessa</t>
  </si>
  <si>
    <t>HQ76.25 -- .B35 2007eb</t>
  </si>
  <si>
    <t>Sexual minorities. ; Homosexuality. ; Bisexuality. ; Transgenderism. ; Eunuchs. ; Intersexuality.</t>
  </si>
  <si>
    <t>No-Nonsense Guide to International Development</t>
  </si>
  <si>
    <t>Black, Maggie</t>
  </si>
  <si>
    <t>HC59.72.E5 -- B53 2009eb</t>
  </si>
  <si>
    <t>Development economics. ; Economic development.</t>
  </si>
  <si>
    <t>No-Nonsense Guide to Fair Trade</t>
  </si>
  <si>
    <t>Ransom, David</t>
  </si>
  <si>
    <t>HF1413 -- .R36 2009eb</t>
  </si>
  <si>
    <t>Exploitation. ; International trade -- Moral and ethical aspects. ; Price maintenance -- Developing countries. ; Restraint of trade. ; Developing countries -- Commerce.</t>
  </si>
  <si>
    <t>No-Nonsense Guide to Conflict and Peace</t>
  </si>
  <si>
    <t xml:space="preserve">Ware, Helen;Greener, Peter ;Iribarnegaray, Deanna ;Ware, Helen </t>
  </si>
  <si>
    <t>HM1126 -- .N6 2007eb</t>
  </si>
  <si>
    <t>Conflict management. ; Culture conflict. ; International relations. ; Peaceful change (International relations) ; War, Cost of.</t>
  </si>
  <si>
    <t>No-Nonsense Guide to Degrowth &amp; Sustainability</t>
  </si>
  <si>
    <t xml:space="preserve">Ellwood, Wayne;Brazier, Chris </t>
  </si>
  <si>
    <t>HD78 -- .E46 2014eb</t>
  </si>
  <si>
    <t>Economic development -- History. ; Sustainable development. ; Environmental economics.</t>
  </si>
  <si>
    <t>Mental Health Disorders Sourcebook</t>
  </si>
  <si>
    <t>Omnigraphics, Incorporated</t>
  </si>
  <si>
    <t>Omnigraphics</t>
  </si>
  <si>
    <t>Health Reference Series</t>
  </si>
  <si>
    <t>Bellenir, Karen</t>
  </si>
  <si>
    <t>RC454.4 -- .M458 2012eb</t>
  </si>
  <si>
    <t>Mental illness. ; Psychiatry.</t>
  </si>
  <si>
    <t>Essential Fashion Illustration: Color and Medium : Color and Medium</t>
  </si>
  <si>
    <t>Quarto Publishing Group USA</t>
  </si>
  <si>
    <t>Rockport Publishers</t>
  </si>
  <si>
    <t>Vilaseca, Estel</t>
  </si>
  <si>
    <t>TT509 -- .E87 2011eb</t>
  </si>
  <si>
    <t>Fashion drawing. ; Fashion design. ; Color.</t>
  </si>
  <si>
    <t>Essential Fashion Illustration: Men : Men</t>
  </si>
  <si>
    <t>Wayne, Chidy</t>
  </si>
  <si>
    <t>TT509 -- .E87 2008eb</t>
  </si>
  <si>
    <t>Fashion drawing. ; Fashion design. ; Men''s clothing.</t>
  </si>
  <si>
    <t>Atlas of Fashion Designers</t>
  </si>
  <si>
    <t>Eceiza, Laura</t>
  </si>
  <si>
    <t>TT505.A1 -- E24 2011eb</t>
  </si>
  <si>
    <t>Fashion designers -- Atlases.</t>
  </si>
  <si>
    <t>Atlas of Graphic Designers</t>
  </si>
  <si>
    <t xml:space="preserve">Stanic, Elena;Corina, Lipavsky;Francisco, Maia </t>
  </si>
  <si>
    <t>NC999.2 -- .S73 2009eb</t>
  </si>
  <si>
    <t>Graphic artists -- Atlases.</t>
  </si>
  <si>
    <t>Forms, Folds and Sizes, Second Edition : All the Details Graphic Designers Need to Know but Can Never Find</t>
  </si>
  <si>
    <t>Sherin, Aaris;Evans, Poppy</t>
  </si>
  <si>
    <t>Engineering: Manufacturing; General Works/Reference; Engineering</t>
  </si>
  <si>
    <t>Z118.5 -- .E93 2011eb</t>
  </si>
  <si>
    <t>Printing -- Handbooks, manuals, etc. ; Graphic design (Typography) -- Handbooks, manuals, etc. ; Packaging -- Handbooks, manuals, etc. ; Shippers'' guides.</t>
  </si>
  <si>
    <t>Essential Fashion Illustration: Details : Details</t>
  </si>
  <si>
    <t>Lafuente, Maite</t>
  </si>
  <si>
    <t>Fashion drawing.</t>
  </si>
  <si>
    <t>Essential Fashion Illustration: Poses : Poses</t>
  </si>
  <si>
    <t>Feminists Who Changed America, 1963-1975</t>
  </si>
  <si>
    <t>University of Illinois Press</t>
  </si>
  <si>
    <t>Love, Barbara J.;Cott, Nancy F.</t>
  </si>
  <si>
    <t>HQ1412</t>
  </si>
  <si>
    <t>305.42092/273 B</t>
  </si>
  <si>
    <t>The Milton Encyclopedia</t>
  </si>
  <si>
    <t>Yale University Press</t>
  </si>
  <si>
    <t xml:space="preserve">Rubin, Barnett R.;Corns, Senior Lecturer Department of English Thomas N </t>
  </si>
  <si>
    <t>PR3580 -- .M48 2012eb</t>
  </si>
  <si>
    <t>Milton, John, -- 1608-1674 -- Encyclopedias. ; English literature -- Early modern, 1500-1700 -- Encyclopedias.</t>
  </si>
  <si>
    <t>The Dictionary of Modern Proverbs</t>
  </si>
  <si>
    <t>Doyle, Charles Clay;Mieder, Wolfgang;Shapiro, Fred R.</t>
  </si>
  <si>
    <t>Literature; Social Science</t>
  </si>
  <si>
    <t>PN6421 -- .D69 2012eb</t>
  </si>
  <si>
    <t>398.9/2103</t>
  </si>
  <si>
    <t>Proverbs, English. ; Proverbs, American.</t>
  </si>
  <si>
    <t>Introduction to the Bible</t>
  </si>
  <si>
    <t>The Open Yale Courses Ser.</t>
  </si>
  <si>
    <t>Hayes, Christine</t>
  </si>
  <si>
    <t>BS1140.3 -- .H39 2012eb</t>
  </si>
  <si>
    <t>Bible. -- O.T. -- Introductions.</t>
  </si>
  <si>
    <t>Political Philosophy</t>
  </si>
  <si>
    <t>Open Yale Courses</t>
  </si>
  <si>
    <t>Smith, Steven B.</t>
  </si>
  <si>
    <t>JA71 -- .S498 2012eb</t>
  </si>
  <si>
    <t>Political science -- Philosophy -- History.</t>
  </si>
  <si>
    <t>Russian-English Dictionary of Idioms</t>
  </si>
  <si>
    <t>Lubensky, Sophia</t>
  </si>
  <si>
    <t>PG2460.L83 2013eb</t>
  </si>
  <si>
    <t>Russian language -- Idioms -- Dictionaries -- English.</t>
  </si>
  <si>
    <t>Holidays, Festivals and Celebrations of the World Dictionary</t>
  </si>
  <si>
    <t>GT3925 -- .H64 2015eb</t>
  </si>
  <si>
    <t>Holidays -- Dictionaries. ; Festivals -- Dictionaries.</t>
  </si>
  <si>
    <t>Timor-Leste's Bill of Rights : A Preliminary History</t>
  </si>
  <si>
    <t>ANU Press</t>
  </si>
  <si>
    <t>Devereux, Annemarie</t>
  </si>
  <si>
    <t>JC599.T56 -- .D484 2015eb</t>
  </si>
  <si>
    <t>Human rights -- Timor-Leste. ; Civil rights -- Timor-Leste. ; Political participation -- Timor-Leste. ; Nation-building -- Timor-Leste. ; Constitutional history -- Timor-Leste. ; Timor-Leste -- Constitutional history. ; Timor-Leste -- Politics and government -- 2002-</t>
  </si>
  <si>
    <t>Dictionary of World Biography</t>
  </si>
  <si>
    <t>Jones, Barry</t>
  </si>
  <si>
    <t>CT103 -- .J66 2015ebeb</t>
  </si>
  <si>
    <t>Biography -- Dictionaries.</t>
  </si>
  <si>
    <t>Performance Management Handbook for Emerging Markets</t>
  </si>
  <si>
    <t>Knowres Publishing</t>
  </si>
  <si>
    <t>Bussin, Mark</t>
  </si>
  <si>
    <t>HD30.65.B87 2013</t>
  </si>
  <si>
    <t>Management by objectives. ; Organizational behavior. ; Performance standards.</t>
  </si>
  <si>
    <t>Pocket Guide to World Religions</t>
  </si>
  <si>
    <t>Corduan, Winfried</t>
  </si>
  <si>
    <t>A-Z Reversed Edition : Abrüstung, Friedenspolitik, Militärpolitik und -wissenschaft</t>
  </si>
  <si>
    <t>Peschke, Michael</t>
  </si>
  <si>
    <t>U26.I58 2008</t>
  </si>
  <si>
    <t>Military art and science -- Abbreviations -- Encyclopedias. ; Science -- Abbreviations -- Encyclopedias. ; Technology -- Abbreviations -- Encyclopedias.</t>
  </si>
  <si>
    <t>Arab-Islamic Biographical Index</t>
  </si>
  <si>
    <t>Cikar, Jutta;Cikar, Mustafa</t>
  </si>
  <si>
    <t>DS37.2 -- .A733 2008eb</t>
  </si>
  <si>
    <t>Arab countries -- Biography -- Dictionaries. ; Arab countries -- Biography -- Indexes. ; Islamic Empire -- Biography -- Dictionaries. ; Islamic Empire -- Biography -- Indexes.</t>
  </si>
  <si>
    <t>A Companion to Ancient Egyptian Art</t>
  </si>
  <si>
    <t xml:space="preserve">Hartwig, Melinda K.;Hartwig, Melinda </t>
  </si>
  <si>
    <t>N5350 -- .C667 2015eb</t>
  </si>
  <si>
    <t>Art, Ancient - Egypt</t>
  </si>
  <si>
    <t>A Companion to Celebrity</t>
  </si>
  <si>
    <t>Marshall, P. David;Redmond, Sean</t>
  </si>
  <si>
    <t>Social Science; Philosophy</t>
  </si>
  <si>
    <t>BJ1470.5 -- .C667 2016eb</t>
  </si>
  <si>
    <t>305.5/2</t>
  </si>
  <si>
    <t>Fame -- Social aspects. ; Celebrities. ; Celebrities in mass media. ; Mass media -- Social aspects. ; Mass media and publicity. ; Mass media and culture.</t>
  </si>
  <si>
    <t>A Companion to Archaic Greece</t>
  </si>
  <si>
    <t>Raaflaub, Kurt A.;van Wees, Hans</t>
  </si>
  <si>
    <t>DF77.C6955 2009</t>
  </si>
  <si>
    <t>Greece - Civilization - To 146 B.C</t>
  </si>
  <si>
    <t>A Companion to the English Novel</t>
  </si>
  <si>
    <t xml:space="preserve">Arata, Stephen;Haley, Madigan;Hunter, J. Paul;Wicke, Jennifer;Arata, Stephen ;Haley, Madigan ;Hunter, J Paul ;Wicke, Jennifer </t>
  </si>
  <si>
    <t>PR823 -- .C667 2015eb</t>
  </si>
  <si>
    <t>LITERARY CRITICISM / General</t>
  </si>
  <si>
    <t>A Companion to Derrida</t>
  </si>
  <si>
    <t>Lawlor, Leonard;Direk, Zeynep</t>
  </si>
  <si>
    <t>B2430.D484 -- .C667 2014eb</t>
  </si>
  <si>
    <t>PHILOSOPHY / History &amp; Surveys / Modern</t>
  </si>
  <si>
    <t>A Companion to the Modern American Novel, 1900 - 1950</t>
  </si>
  <si>
    <t>Matthews, John T.;Matthews, John T.</t>
  </si>
  <si>
    <t>PS379.C63 2009</t>
  </si>
  <si>
    <t>813/.5209</t>
  </si>
  <si>
    <t>Modernism (Literature) - United States</t>
  </si>
  <si>
    <t>The Wiley Blackwell Companion to Latino/a Theology</t>
  </si>
  <si>
    <t>Espin, Orlando O.</t>
  </si>
  <si>
    <t>BT83.575 -- .W55 2015eb</t>
  </si>
  <si>
    <t>230.089/68073</t>
  </si>
  <si>
    <t>Hispanic American theology</t>
  </si>
  <si>
    <t>The Handbook of Gangs</t>
  </si>
  <si>
    <t>Wiley Handbooks in Criminology and Criminal Justice Ser.</t>
  </si>
  <si>
    <t>Decker, Scott H.;Pyrooz, David C.</t>
  </si>
  <si>
    <t>HV6437 -- .H363 2015eb</t>
  </si>
  <si>
    <t>Gangs. ; Gangs -- Handbooks, manuals, etc.</t>
  </si>
  <si>
    <t>The Essential Academic Dean or Provost : A Comprehensive Desk Reference</t>
  </si>
  <si>
    <t>LB2341 -- .B743 2015eb</t>
  </si>
  <si>
    <t>Deans (Education) ; Universities and colleges -- Administration.</t>
  </si>
  <si>
    <t>The Winchester Guide to Keywords and Concepts for International Students in Art, Media and Design</t>
  </si>
  <si>
    <t xml:space="preserve">Makhoul, Annie;Morley, Simon;Morley, Simon </t>
  </si>
  <si>
    <t>N33.M225 2014</t>
  </si>
  <si>
    <t>Design</t>
  </si>
  <si>
    <t>The Wiley Blackwell Companion to Zoroastrianism</t>
  </si>
  <si>
    <t>Stausberg, Michael;Vevaina, Yuhan Sohrab-Dinshaw;Tessmann, Anna</t>
  </si>
  <si>
    <t>BL1572 -- .W55 2015eb</t>
  </si>
  <si>
    <t>Zoroastrianism</t>
  </si>
  <si>
    <t>A Companion to the U. S. Civil War</t>
  </si>
  <si>
    <t>Sheehan-Dean, Aaron</t>
  </si>
  <si>
    <t>E468.5</t>
  </si>
  <si>
    <t>HISTORY / United States / 19th Century</t>
  </si>
  <si>
    <t>Essentials of Assessing, Preventing, and Overcoming Reading Difficulties</t>
  </si>
  <si>
    <t>Kilpatrick, David A.;Kaufman, Alan S.;Kaufman, Nadeen L.</t>
  </si>
  <si>
    <t>LB1050 -- .K557 2015eb</t>
  </si>
  <si>
    <t>Reading. ; Language and languages.</t>
  </si>
  <si>
    <t>A Companion to Roman Art</t>
  </si>
  <si>
    <t>Borg, Barbara E.</t>
  </si>
  <si>
    <t>N5760 -- .C667 2015eb</t>
  </si>
  <si>
    <t>Art, Roman</t>
  </si>
  <si>
    <t>The Wiley Handbook of Eating Disorders</t>
  </si>
  <si>
    <t>Wiley Clinical Psychology Handbooks Ser.</t>
  </si>
  <si>
    <t>Smolak, Linda;Levine, Michael P.</t>
  </si>
  <si>
    <t>RC552.E18 -- .W554 2015eb</t>
  </si>
  <si>
    <t>616.85/26</t>
  </si>
  <si>
    <t>PSYCHOLOGY / Clinical Psychology</t>
  </si>
  <si>
    <t>The Wiley Blackwell Handbook of the Psychology of Occupational Safety and Workplace Health</t>
  </si>
  <si>
    <t>Clarke, Sharon;Probst, Tahira M.;Guldenmund, Frank W.;Passmore, Jonathan</t>
  </si>
  <si>
    <t>RC967 -- .W535 2016eb</t>
  </si>
  <si>
    <t>Industrial hygiene - Psychological aspects</t>
  </si>
  <si>
    <t>A Companion to Julius Caesar</t>
  </si>
  <si>
    <t>Griffin, Miriam</t>
  </si>
  <si>
    <t>DG261.C76 2009</t>
  </si>
  <si>
    <t>Generals - Rome</t>
  </si>
  <si>
    <t>A Companion to Custer and the Little Bighorn Campaign</t>
  </si>
  <si>
    <t>Lookingbill, Brad D.</t>
  </si>
  <si>
    <t>E83.876 -- .C667 2015eb</t>
  </si>
  <si>
    <t>Custer, George A. -- (George Armstrong), -- 1839-1876. ; Little Bighorn, Battle of the, Mont., 1876. ; Little Bighorn Battlefield National Monument (Mont.)</t>
  </si>
  <si>
    <t>A Companion to the Anthropology of the Body and Embodiment</t>
  </si>
  <si>
    <t>Mascia-Lees, Frances E.;Mascia-Lees, Frances E.</t>
  </si>
  <si>
    <t>GN298.C65 2011</t>
  </si>
  <si>
    <t>A Companion to Mexican History and Culture</t>
  </si>
  <si>
    <t>Beezley, William H.</t>
  </si>
  <si>
    <t>F1226.C655 2011</t>
  </si>
  <si>
    <t>HISTORY / Latin America / General</t>
  </si>
  <si>
    <t>A Companion to Richard M. Nixon</t>
  </si>
  <si>
    <t>Small, Melvin</t>
  </si>
  <si>
    <t>E856 -- .C66 2011eb</t>
  </si>
  <si>
    <t>973.924092 B</t>
  </si>
  <si>
    <t>Nixon, Richard M</t>
  </si>
  <si>
    <t>A Companion to Benjamin Franklin</t>
  </si>
  <si>
    <t>Waldstreicher, David</t>
  </si>
  <si>
    <t>E302.6.F8.C69 2011</t>
  </si>
  <si>
    <t>973.3092 B</t>
  </si>
  <si>
    <t>HISTORY / United States / Colonial Period (1600-1775)</t>
  </si>
  <si>
    <t>A Companion to James Joyce</t>
  </si>
  <si>
    <t>Brown, Richard</t>
  </si>
  <si>
    <t>PR6019.O9 -- .C667 2011eb</t>
  </si>
  <si>
    <t>823/.912</t>
  </si>
  <si>
    <t>Joyce, James - Criticism and interpretation</t>
  </si>
  <si>
    <t>A Companion to American Literary Studies</t>
  </si>
  <si>
    <t>Levander, Caroline F.;Levine, Robert S.</t>
  </si>
  <si>
    <t>PS25.C59 2011</t>
  </si>
  <si>
    <t>A Companion to Poetic Genre</t>
  </si>
  <si>
    <t>Martiny, Erik</t>
  </si>
  <si>
    <t>PN1111.C6 2012</t>
  </si>
  <si>
    <t>LITERARY CRITICISM / Poetry</t>
  </si>
  <si>
    <t>A Companion to Bioethics</t>
  </si>
  <si>
    <t>Kuhse, Helga;Singer, Peter</t>
  </si>
  <si>
    <t>Medicine; Philosophy</t>
  </si>
  <si>
    <t>R724.C616 2012</t>
  </si>
  <si>
    <t>A Companion to Jane Austen</t>
  </si>
  <si>
    <t>Johnson, Claudia L.;Tuite, Clara</t>
  </si>
  <si>
    <t>PR4037.C65 2012</t>
  </si>
  <si>
    <t>Austen, Jane - Criticism and interpretation</t>
  </si>
  <si>
    <t>A Companion to the Anthropology of Europe</t>
  </si>
  <si>
    <t xml:space="preserve">Kockel, Ullrich;Craith, Máiréad Nic;Frykman, Jonas;Craith, Máiréad Nic;Craith, M?iread Nic ;Craith, M Iread Nic </t>
  </si>
  <si>
    <t>GN17.3.E85.C667 2012</t>
  </si>
  <si>
    <t>A Companion to Families in the Greek and Roman Worlds</t>
  </si>
  <si>
    <t>Rawson, Beryl</t>
  </si>
  <si>
    <t>HQ511 -- .C667 2011eb</t>
  </si>
  <si>
    <t>Families - Greece - History</t>
  </si>
  <si>
    <t>A Brief History of American Literature</t>
  </si>
  <si>
    <t>Gray, Richard</t>
  </si>
  <si>
    <t>PS88 -- .G739 2011eb</t>
  </si>
  <si>
    <t>United States - Literatures - History and criticism</t>
  </si>
  <si>
    <t>A Companion to Medical Anthropology</t>
  </si>
  <si>
    <t xml:space="preserve">Singer, Merrill;Erickson, Pamela I.;Singer, Professor Merrill ;Erickson, Pamela I </t>
  </si>
  <si>
    <t>GN296.C667 2011</t>
  </si>
  <si>
    <t>306.4/61</t>
  </si>
  <si>
    <t>A Brief History of the Soul</t>
  </si>
  <si>
    <t>Brief Histories of Philosophy Ser.</t>
  </si>
  <si>
    <t>Goetz, Stewart;Taliaferro, Charles</t>
  </si>
  <si>
    <t>BD421.G64 2011</t>
  </si>
  <si>
    <t>128/.109</t>
  </si>
  <si>
    <t>Soul</t>
  </si>
  <si>
    <t>A Companion to the Anthropology of Education</t>
  </si>
  <si>
    <t xml:space="preserve">Levinson, Bradley A.;Pollock, Mica;Levinson, Bradley A U ;Pollock, Mica </t>
  </si>
  <si>
    <t>Social Science; Education</t>
  </si>
  <si>
    <t>LB45.C653 2011</t>
  </si>
  <si>
    <t>A Companion to Greek Mythology</t>
  </si>
  <si>
    <t>Dowden, Ken;Livingstone, Niall</t>
  </si>
  <si>
    <t>BL783.C667 2011</t>
  </si>
  <si>
    <t>Greece - Religion</t>
  </si>
  <si>
    <t>A Brief History of Justice</t>
  </si>
  <si>
    <t>Johnston, David</t>
  </si>
  <si>
    <t>B105.J87.J646 2011</t>
  </si>
  <si>
    <t>172/.209</t>
  </si>
  <si>
    <t>PHILOSOPHY / General</t>
  </si>
  <si>
    <t>The Wiley Blackwell Companion to Practical Theology</t>
  </si>
  <si>
    <t>Miller-McLemore, Bonnie J.;Miller-McLemore, Bonnie J.</t>
  </si>
  <si>
    <t>BV3.W53 2012</t>
  </si>
  <si>
    <t>The Wiley-Blackwell Companion to Chinese Religions</t>
  </si>
  <si>
    <t>Nadeau, Randall L.</t>
  </si>
  <si>
    <t>BL1802 -- .W554 2012eb</t>
  </si>
  <si>
    <t>China - Religion</t>
  </si>
  <si>
    <t>The Wiley-Blackwell Encyclopedia of Eighteenth-Century Writers and Writing 1660 - 1789</t>
  </si>
  <si>
    <t>Baines, Paul;Ferraro, Julian;Rogers, Pat</t>
  </si>
  <si>
    <t>PR441.B356 2011</t>
  </si>
  <si>
    <t>English literature - 18th century</t>
  </si>
  <si>
    <t>The Wiley-Blackwell Dictionary of Modern European History Since 1789</t>
  </si>
  <si>
    <t>Atkin, Nicholas;Biddiss, Michael;Tallett, Frank</t>
  </si>
  <si>
    <t>D299.A855 2011</t>
  </si>
  <si>
    <t>HISTORY / Modern / General</t>
  </si>
  <si>
    <t>Oxford Handbook of Mental Health Nursing</t>
  </si>
  <si>
    <t>Oxford Handbooks in Nursing Ser.</t>
  </si>
  <si>
    <t>Callaghan, Patrick;Gamble, Catherine</t>
  </si>
  <si>
    <t>RC440.C35 2015</t>
  </si>
  <si>
    <t>616.89/0231</t>
  </si>
  <si>
    <t>Psychiatric nursing</t>
  </si>
  <si>
    <t>Brill's Companion to Ancient Geography : The Inhabited World in Greek and Roman Tradition</t>
  </si>
  <si>
    <t>Bianchetti, Serena;Cataudella, Michele;Gehrke, Hans-Joachim</t>
  </si>
  <si>
    <t>G86 -- .B755 2016eb</t>
  </si>
  <si>
    <t>Geography, Ancient</t>
  </si>
  <si>
    <t>The Wiley-Blackwell Handbook of the Psychology of Coaching and Mentoring</t>
  </si>
  <si>
    <t>Passmore, Jonathan;Peterson, David;Freire, Teresa</t>
  </si>
  <si>
    <t>HF5549.5.C53</t>
  </si>
  <si>
    <t>Personal coaching</t>
  </si>
  <si>
    <t>Fundamentals of Project Management</t>
  </si>
  <si>
    <t>AMACOM</t>
  </si>
  <si>
    <t>Heagney, Joseph</t>
  </si>
  <si>
    <t>The Cambridge Companion to Mozart</t>
  </si>
  <si>
    <t>Cambridge Companions to Music Ser.</t>
  </si>
  <si>
    <t>Keefe, Simon P.;Cross, Jonathan</t>
  </si>
  <si>
    <t>ML410.M9 \</t>
  </si>
  <si>
    <t>Mozart, Wolfgang Amadeus, 1756-1791--Criticism and interpretation.</t>
  </si>
  <si>
    <t>The Cambridge Companion to Debussy</t>
  </si>
  <si>
    <t>Trezise, Simon;Cross, Jonathan</t>
  </si>
  <si>
    <t>ML410.D28.C26 2003</t>
  </si>
  <si>
    <t>France</t>
  </si>
  <si>
    <t>The Cambridge Companion to Stravinsky</t>
  </si>
  <si>
    <t>Cross, Jonathan</t>
  </si>
  <si>
    <t>ML410.S932</t>
  </si>
  <si>
    <t>780/.92</t>
  </si>
  <si>
    <t>Stravinsky, Igor, 1882-1971--Criticism and interpretation.</t>
  </si>
  <si>
    <t>The Cambridge Companion to Verdi</t>
  </si>
  <si>
    <t>Balthazar, Scott L.;Cross, Jonathan</t>
  </si>
  <si>
    <t>ML410</t>
  </si>
  <si>
    <t>Composers - Italy - Biography</t>
  </si>
  <si>
    <t>Wiley</t>
  </si>
  <si>
    <t>RC552.P67</t>
  </si>
  <si>
    <t>Post-traumatic stress disorder--Encyclopedias.</t>
  </si>
  <si>
    <t>First Ladies of the United States : A Biographical Dictionary</t>
  </si>
  <si>
    <t>Watson, Robert P.</t>
  </si>
  <si>
    <t>E176.2 -- .W387 2001eb</t>
  </si>
  <si>
    <t>Presidents' spouses--United States--Biography--Dictionaries.</t>
  </si>
  <si>
    <t>Legal Executions in Georgia : A Comprehensive Registry, 1866-1964</t>
  </si>
  <si>
    <t>HV8699.U6 -- .H437 2016eb</t>
  </si>
  <si>
    <t>364.6609758/0904</t>
  </si>
  <si>
    <t>Executions and executioners - Georgia</t>
  </si>
  <si>
    <t>Radio Programs, 1924-1984 : A Catalog of More Than 1800 Shows</t>
  </si>
  <si>
    <t>General Works/Reference; Fine Arts</t>
  </si>
  <si>
    <t>PN1991.9 -- .T477 1999eb</t>
  </si>
  <si>
    <t>Radio programs--United States--Catalogs.</t>
  </si>
  <si>
    <t>Emmy Award Winning Nighttime Television Shows, 1948-2004</t>
  </si>
  <si>
    <t>Hyatt, Wesley</t>
  </si>
  <si>
    <t>PN1992.3.U5 -- .H938 2006eb</t>
  </si>
  <si>
    <t>Emmy Awards</t>
  </si>
  <si>
    <t>Dictionary of Television and Audiovisual Terminology</t>
  </si>
  <si>
    <t>Moshkovitz, Moshe</t>
  </si>
  <si>
    <t>TK6634.M67</t>
  </si>
  <si>
    <t>621.3/88</t>
  </si>
  <si>
    <t>Audio-visual equipment</t>
  </si>
  <si>
    <t>Gravesites of Southern Musicians : A Guide to over 300 Jazz, Blues, Country and Rock Performers' Burial Places</t>
  </si>
  <si>
    <t>Amos, Edward</t>
  </si>
  <si>
    <t>ML385 -- .A467 2002eb</t>
  </si>
  <si>
    <t>781.64/092/275</t>
  </si>
  <si>
    <t>Musicians - Southern States - Death</t>
  </si>
  <si>
    <t>British Author House Museums and Other Memorials : A Guide to Sites in England, Ireland, Scotland and Wales</t>
  </si>
  <si>
    <t>Biggers, Shirley Hoover</t>
  </si>
  <si>
    <t>PR109 -- .B544 2002eb</t>
  </si>
  <si>
    <t>820.9 B</t>
  </si>
  <si>
    <t>Literary museums - Ireland</t>
  </si>
  <si>
    <t>Korean War Filmography : 91 English Language Features Through 2000</t>
  </si>
  <si>
    <t>Lentz, Robert J.</t>
  </si>
  <si>
    <t>DS918.16 -- .L468 2003eb</t>
  </si>
  <si>
    <t>016.79143'658</t>
  </si>
  <si>
    <t>War films - United States - History and criticism</t>
  </si>
  <si>
    <t>Indiana-Born Major League Baseball Players : A Biographical Dictionary, 1871-2014</t>
  </si>
  <si>
    <t>Cava, Pete</t>
  </si>
  <si>
    <t>GV865.A1C325 2015</t>
  </si>
  <si>
    <t>Baseball players - Indiana</t>
  </si>
  <si>
    <t>Guide to Methods for Students of Political Science</t>
  </si>
  <si>
    <t>Van Evera, Stephen</t>
  </si>
  <si>
    <t>JA71.V3 1997</t>
  </si>
  <si>
    <t>Political science--Methodology.</t>
  </si>
  <si>
    <t>The Healthcare Professional's Guide to Human Research</t>
  </si>
  <si>
    <t>R850 -- .C73 2008eb</t>
  </si>
  <si>
    <t>Biomedical Research - methods</t>
  </si>
  <si>
    <t>Handbook of Jewish Languages</t>
  </si>
  <si>
    <t>Kahn, Lily;D. Rubin, Aaron</t>
  </si>
  <si>
    <t>PJ5061.H43 2015</t>
  </si>
  <si>
    <t>Jews--Languages.</t>
  </si>
  <si>
    <t>A Companion to Priesthood and Holy Orders in the Middle Ages</t>
  </si>
  <si>
    <t>Brill's Companions to the Christian Tradition Ser.</t>
  </si>
  <si>
    <t>Peters, Greg;Anderson, C. Colt</t>
  </si>
  <si>
    <t>BX2470 -- .C585 2016eb</t>
  </si>
  <si>
    <t>262/.140902</t>
  </si>
  <si>
    <t>Priesthood - History</t>
  </si>
  <si>
    <t>The Complete Review Guide to Contemporary World Fiction</t>
  </si>
  <si>
    <t>Orthofer, M. A.</t>
  </si>
  <si>
    <t>PN3491.O784 2016eb</t>
  </si>
  <si>
    <t>Fiction--History and criticism.</t>
  </si>
  <si>
    <t>Ute Dictionary</t>
  </si>
  <si>
    <t>John Benjamins Publishing Company</t>
  </si>
  <si>
    <t>Culture and Language Use</t>
  </si>
  <si>
    <t>Givón, T.;Casias, Pearl;Peabody, Vida;Cloud, Mary Inez</t>
  </si>
  <si>
    <t>PM2515.Z5G48 2015</t>
  </si>
  <si>
    <t>497/.4576</t>
  </si>
  <si>
    <t>Ute language--Dictionaries--English.</t>
  </si>
  <si>
    <t>Brill's Companion to the Study of Greek Comedy</t>
  </si>
  <si>
    <t>Dobrov, Gregory</t>
  </si>
  <si>
    <t>PA3161 -- .B755 2010eb</t>
  </si>
  <si>
    <t>Greek drama (Comedy)--History and criticism.</t>
  </si>
  <si>
    <t>Handbook of Ugaritic Studies</t>
  </si>
  <si>
    <t>Watson, Wilfred;Wyatt, Nicolas</t>
  </si>
  <si>
    <t>DS99.U35H35 1999</t>
  </si>
  <si>
    <t>Ugarit (Extinct city)</t>
  </si>
  <si>
    <t>A Dictionary of Samaritan Aramaic (2 Vols. )</t>
  </si>
  <si>
    <t>Tal, Abraham</t>
  </si>
  <si>
    <t>PJ5275 -- .T35 2000eb</t>
  </si>
  <si>
    <t>Samaritan Aramaic language--Dictionaries--Polyglot.</t>
  </si>
  <si>
    <t>A Phoenician-Punic Grammar</t>
  </si>
  <si>
    <t>Krahmalkov, Charles R.</t>
  </si>
  <si>
    <t>PJ4175 -- .K73 2001eb</t>
  </si>
  <si>
    <t>492/.6</t>
  </si>
  <si>
    <t>Phoenician language--Grammar.</t>
  </si>
  <si>
    <t>A Grammar of Egyptian Aramaic : Second Revised Edition</t>
  </si>
  <si>
    <t>Muraoka, Takamitsu;Porten, Bezalel</t>
  </si>
  <si>
    <t>PJ5202.M87</t>
  </si>
  <si>
    <t>Aramaic language--Egypt--Grammar.</t>
  </si>
  <si>
    <t>A Grammar of Neo-Aramaic : The Dialect of the Jews of Arbel</t>
  </si>
  <si>
    <t>Khan, Geoffrey</t>
  </si>
  <si>
    <t>PJ5282 -- .K436 1999eb</t>
  </si>
  <si>
    <t>492/.3</t>
  </si>
  <si>
    <t>Aramaic language--Dialects--Iraq--Irbil Region--Grammar.</t>
  </si>
  <si>
    <t>The Handbook of Canadian Higher Education</t>
  </si>
  <si>
    <t>McGill-Queen's University Press</t>
  </si>
  <si>
    <t>Shanahan, Theresa;Nilson, Michelle;Broshko, Li Jeen</t>
  </si>
  <si>
    <t>Law; Education</t>
  </si>
  <si>
    <t>Encyclopedia of Beasts and Monsters in Myth, Legend and Folklore</t>
  </si>
  <si>
    <t>Encyclopedia of Nordic Crime Fiction : Works and Authors of Denmark, Finland, Iceland, Norway and Sweden Since 1967</t>
  </si>
  <si>
    <t>Brunsdale, Mitzi M.</t>
  </si>
  <si>
    <t>Handbook of Bibliometric Indicators : Quantitative Tools for Studying and Evaluating Research</t>
  </si>
  <si>
    <t>Todeschini, Roberto;Baccini, Alberto</t>
  </si>
  <si>
    <t>Z669.8 -- .T634 2016eb</t>
  </si>
  <si>
    <t>Bibliometrics--Handbooks, manuals, etc.</t>
  </si>
  <si>
    <t>Textual Curation : Authorship, Agency, and Technology in Wikipedia and Chambers's Cyclopaedia</t>
  </si>
  <si>
    <t>University of South Carolina Press</t>
  </si>
  <si>
    <t>Studies in Rhetoric and Communication Ser.</t>
  </si>
  <si>
    <t>Kennedy, Krista</t>
  </si>
  <si>
    <t>AE1.5 .K75 2016</t>
  </si>
  <si>
    <t>Encyclopedia of Giants and Humanoids in Myth, Legend and Folklore</t>
  </si>
  <si>
    <t>A Companion to the Premodern Apocalypse</t>
  </si>
  <si>
    <t>Ryan, Michael A.</t>
  </si>
  <si>
    <t>BL501.C65 2015</t>
  </si>
  <si>
    <t>228/.0609</t>
  </si>
  <si>
    <t>Apocalyptic literature--History and criticism.</t>
  </si>
  <si>
    <t>Encyclopedia of the Yoruba</t>
  </si>
  <si>
    <t>Falola, Toyin;Akinyemi, Akintunde</t>
  </si>
  <si>
    <t>DT474.6.Y67 -- .E539 2016eb</t>
  </si>
  <si>
    <t>Yoruba (African people) - Civilization</t>
  </si>
  <si>
    <t>Mussolini's Navy : A Reference Guide to the Regia Marina, 1930-1945</t>
  </si>
  <si>
    <t>Naval Institute Press</t>
  </si>
  <si>
    <t>Brescia, Maurizio;Zaio, Paola</t>
  </si>
  <si>
    <t>D775.B74 2012</t>
  </si>
  <si>
    <t>World War, 1939-1945--Naval operations, Italian.</t>
  </si>
  <si>
    <t>Conference Interpreting : A Trainer’s Guide</t>
  </si>
  <si>
    <t>Benjamins Translation Library</t>
  </si>
  <si>
    <t>Setton, Robin;Dawrant, Andrew</t>
  </si>
  <si>
    <t>P306.95 -- .S488 2016eb</t>
  </si>
  <si>
    <t>Congresses and conventions--Translating services.</t>
  </si>
  <si>
    <t>The Watercolor Flower Artist's Bible : An Essential Reference for the Practicing Artist</t>
  </si>
  <si>
    <t>Book Sales, Incorporated</t>
  </si>
  <si>
    <t>Chartwell</t>
  </si>
  <si>
    <t>Artist's Bibles Ser.</t>
  </si>
  <si>
    <t>Brown, Claire</t>
  </si>
  <si>
    <t>ND1403.C6.W384 2011</t>
  </si>
  <si>
    <t>Flowers in art.</t>
  </si>
  <si>
    <t>The Oil Painter's Bible : An essential reference for the practicing artist</t>
  </si>
  <si>
    <t>Chartwell Books</t>
  </si>
  <si>
    <t>Scott, Marylin;Scott, Marylin</t>
  </si>
  <si>
    <t>ND1500.S368 2010</t>
  </si>
  <si>
    <t>Painting--Technique.</t>
  </si>
  <si>
    <t>Annotated Bibliography of Quaternary Vertebrates of Northern North America</t>
  </si>
  <si>
    <t>University of Toronto Press</t>
  </si>
  <si>
    <t>Harington, C. R.;Harington, C. R.</t>
  </si>
  <si>
    <t>Z6033.V45.A56 2003</t>
  </si>
  <si>
    <t>016.566/0971</t>
  </si>
  <si>
    <t>Vertebrates, Fossil--Canada--Bibliography.</t>
  </si>
  <si>
    <t>The Yale Biographical Dictionary of American Law</t>
  </si>
  <si>
    <t>Yale Law Library Series in Legal History and Reference</t>
  </si>
  <si>
    <t>Newman, Roger K.</t>
  </si>
  <si>
    <t>KF353.Y35 2009</t>
  </si>
  <si>
    <t>Law teachers - United States</t>
  </si>
  <si>
    <t>Resting Places : The Burial Sites of More Than 14,000 Famous Persons, 3d Ed</t>
  </si>
  <si>
    <t>Wilson, Scott</t>
  </si>
  <si>
    <t>The Comparative Guide to Elementary &amp; Secondary Schools, 2016/17</t>
  </si>
  <si>
    <t>Garoogian, David</t>
  </si>
  <si>
    <t>LA217.2.C667 2016eb</t>
  </si>
  <si>
    <t>Public schools--United States--Statistics.</t>
  </si>
  <si>
    <t>The Max Weber Dictionary : Key Words and Central Concepts, Second Edition</t>
  </si>
  <si>
    <t>Stanford University Press</t>
  </si>
  <si>
    <t>Stanford Social Science</t>
  </si>
  <si>
    <t>Swedberg, Richard;Agevall, Ola</t>
  </si>
  <si>
    <t>HM425</t>
  </si>
  <si>
    <t>Cheney, Donald;Hamilton, A. C.;Richardson, David;Hamilton, A C;Barker, William W.</t>
  </si>
  <si>
    <t>PR2358</t>
  </si>
  <si>
    <t>Spenser, Edmund, 1552?-1599--Encyclopedias. ; Poets, English--Early modern, 1500-1700--Biography--Encyclopedias. ; Great Britain--Civilization--16th century--Encyclopedias.</t>
  </si>
  <si>
    <t>Encyclopedia of Media and Communication</t>
  </si>
  <si>
    <t>Danesi, Marcel</t>
  </si>
  <si>
    <t>P87.5.E54 2013</t>
  </si>
  <si>
    <t>Semiotics</t>
  </si>
  <si>
    <t>Placing Names : Enriching and Integrating Gazetteers</t>
  </si>
  <si>
    <t>The Spatial Humanities Ser.</t>
  </si>
  <si>
    <t>Berman, Merrick Lex;Mostern, Ruth;Southall, Humphrey;Bol, Peter;Goodchild, Michael Frank;Kerfoot, Helen;Shaw, Ryan;Singh, Raj;Grossner, Karl;Janowicz, Krzysztof</t>
  </si>
  <si>
    <t>Gazetteers - History</t>
  </si>
  <si>
    <t>Texas Almanac 2016-2017</t>
  </si>
  <si>
    <t>Texas State Historical Assn</t>
  </si>
  <si>
    <t>Alvarez, Elizabeth Cruce;Alvarez, Elizabeth Cruce;Plocheck, Robert</t>
  </si>
  <si>
    <t>General Works/Reference; Geography/Travel</t>
  </si>
  <si>
    <t>AY311.D3.T493 2016</t>
  </si>
  <si>
    <t>Almanacs, American--Texas.</t>
  </si>
  <si>
    <t>Dictionary of Cape Breton English</t>
  </si>
  <si>
    <t>Davey, William John;MacKinnon, Richard P.</t>
  </si>
  <si>
    <t>PE1711.D384 2016</t>
  </si>
  <si>
    <t>427/.97169</t>
  </si>
  <si>
    <t>English language--Dialects--Nova Scotia--Cape Breton Island--Glossaries, vocabularies, etc.</t>
  </si>
  <si>
    <t>Exposure and Response (Ritual) Prevention for Obsessive-Compulsive Disorder : Therapist Guide</t>
  </si>
  <si>
    <t>Foa, Edna B.;Yadin, Elna;Lichner, Tracey K.</t>
  </si>
  <si>
    <t>RC533.F63 2012</t>
  </si>
  <si>
    <t>Obsessive-compulsive disorder--Treatment.</t>
  </si>
  <si>
    <t>The Arabic-Ethiopic Glossary by Al-Malik Al-Afḍal : An Annotated Edition with a Linguistic Introduction and a Lexical Index</t>
  </si>
  <si>
    <t>Bulakh, Maria;Kogan, Leonid</t>
  </si>
  <si>
    <t>PJ6636.E75.I26 2017</t>
  </si>
  <si>
    <t>Arabic language--Dictionaries--Ethiopian--Early works to 1800.</t>
  </si>
  <si>
    <t>Dialect Atlas of North Yemen and Adjacent Areas</t>
  </si>
  <si>
    <t>Behnstedt, Peter;Goldbloom, Gwendolin</t>
  </si>
  <si>
    <t>History of the Arabic Written Tradition Volume 2</t>
  </si>
  <si>
    <t>Brockelmann, Carl</t>
  </si>
  <si>
    <t>892.7/09</t>
  </si>
  <si>
    <t>Dictionary of the Ben Cao Gang Mu, Volume 2 : Geographical and Administrative Designations</t>
  </si>
  <si>
    <t>Linfu, Hua;Buell, Paul D.</t>
  </si>
  <si>
    <t>RS180.C5.L564 2017</t>
  </si>
  <si>
    <t>Medicine, Chinese--History--16th century.</t>
  </si>
  <si>
    <t>Oxford Handbook of Emergency Nursing</t>
  </si>
  <si>
    <t>Crouch OBE, Robert;Charters, Alan;Dawood, Mary;Bennett, Paula</t>
  </si>
  <si>
    <t>Medicine; Nursing</t>
  </si>
  <si>
    <t>RT120.E4O946 2017</t>
  </si>
  <si>
    <t>Emergency nursing.</t>
  </si>
  <si>
    <t>History of the Arabic Written Tradition Volume 1</t>
  </si>
  <si>
    <t>The Science of Managing Our Digital Stuff</t>
  </si>
  <si>
    <t>Bergman, Ofer;Whittaker, Steve</t>
  </si>
  <si>
    <t>HD30.2B474 2016</t>
  </si>
  <si>
    <t>Personal information management</t>
  </si>
  <si>
    <t>Concise Encyclopedia of Comparative Sociology</t>
  </si>
  <si>
    <t>Sasaki, Masamichi;Goldstone, Jack;Zimmermann, Ekkart;Sanderson, Stephen K.;Fishman, Joshua</t>
  </si>
  <si>
    <t>HM585.C65396 2014</t>
  </si>
  <si>
    <t>Sociology--Encyclopedias.</t>
  </si>
  <si>
    <t>The ISO 9001:2015 Implementation Handbook: : Using the Process Approach to Build a Quality Management System</t>
  </si>
  <si>
    <t>ASQ Quality Press</t>
  </si>
  <si>
    <t>Dentch, Milton P.</t>
  </si>
  <si>
    <t>TS156.17.I86 D46 2017</t>
  </si>
  <si>
    <t>658.5/62--dc23</t>
  </si>
  <si>
    <t>ISO 9001 Standard--Handbooks, manuals, etc.</t>
  </si>
  <si>
    <t>A Grammar of RGyalrong, Jiǎomùzú (Kyom-Kyo) Dialects : A Web of Relations</t>
  </si>
  <si>
    <t>Brill's Tibetan Studies Library</t>
  </si>
  <si>
    <t>Prins, Marielle</t>
  </si>
  <si>
    <t>Doing Business in Russia, Volume I : A Concise Guide</t>
  </si>
  <si>
    <t>Business Expert Press</t>
  </si>
  <si>
    <t>Zhuplev, Anatoly</t>
  </si>
  <si>
    <t>HC333.Z483 2017</t>
  </si>
  <si>
    <t>Investments, Foreign--Russia.</t>
  </si>
  <si>
    <t>The Encyclopedia of British Film : Fourth Edition</t>
  </si>
  <si>
    <t>Manchester University Press</t>
  </si>
  <si>
    <t>McFarlane, Brian;Slide, Anthony</t>
  </si>
  <si>
    <t>PN1993.5.G7.E539 2013</t>
  </si>
  <si>
    <t>Motion pictures--Great Britain--Encyclopedias.</t>
  </si>
  <si>
    <t>Mammoth Cave Curiosities : A Guide to Rockphobia, Dating, Saber-Toothed Cats, and Other Subterranean Marvels</t>
  </si>
  <si>
    <t>Olson, Colleen O'Connor</t>
  </si>
  <si>
    <t>F457.M2.O476 2016</t>
  </si>
  <si>
    <t>Curiosities and wonders - Kentucky - Mammoth Cave</t>
  </si>
  <si>
    <t>From Vines to Wines in Classical Rome : A Handbook of Viticulture and Oenology in Rome and the Roman West</t>
  </si>
  <si>
    <t>Thurmond, David L.</t>
  </si>
  <si>
    <t>TP559.I8T48 2017</t>
  </si>
  <si>
    <t>Karaite Judaism : A Guide to Its History and Literary Sources</t>
  </si>
  <si>
    <t>Polliack, Meira</t>
  </si>
  <si>
    <t>BM185.K37 2003</t>
  </si>
  <si>
    <t>296.8/1</t>
  </si>
  <si>
    <t>Karaites.</t>
  </si>
  <si>
    <t>Oxford Handbook of Midwifery</t>
  </si>
  <si>
    <t>Medforth, Janet;Ball, Linda;Walker, Angela;Battersby, Sue;Stables, Sarah</t>
  </si>
  <si>
    <t>RG950.O946 2017</t>
  </si>
  <si>
    <t>Midwifery--Handbooks, manuals, etc.</t>
  </si>
  <si>
    <t>Financial Aid Handbook, Revised Edition : Getting the Education You Want for the Price You Can Afford</t>
  </si>
  <si>
    <t>Red Wheel/Weiser</t>
  </si>
  <si>
    <t>Career Press</t>
  </si>
  <si>
    <t>Stack, Carol;Vedvik, Ruth</t>
  </si>
  <si>
    <t>LB2337.4.S733 2017</t>
  </si>
  <si>
    <t>Student aid--United States--Handbooks, manuals, etc.</t>
  </si>
  <si>
    <t>Get a Grip on Your Grammar : 250 Writing and Editing Reminders for the Curious or Confused</t>
  </si>
  <si>
    <t>Spisak, Kris</t>
  </si>
  <si>
    <t>PE1111.S657 2017</t>
  </si>
  <si>
    <t>English language--Grammar--Study and teaching.</t>
  </si>
  <si>
    <t>A Companion to the Greek Lyric Poets</t>
  </si>
  <si>
    <t>Mnemosyne, Supplements Ser.</t>
  </si>
  <si>
    <t>Gerber, Douglas E.</t>
  </si>
  <si>
    <t>884/.0109</t>
  </si>
  <si>
    <t>The Skills Training Manual for Radically Open Dialectical Behavior Therapy : A Clinician's Guide for Treating Disorders of Overcontrol</t>
  </si>
  <si>
    <t>Context Press</t>
  </si>
  <si>
    <t>Lynch, Thomas R.</t>
  </si>
  <si>
    <t>RC489.B4 .L963 2018</t>
  </si>
  <si>
    <t>Dialectical behavior therapy.</t>
  </si>
  <si>
    <t>French XX Bibliography, issue #67 : A Bibliography for the Study of French Literature and Culture Since 1885</t>
  </si>
  <si>
    <t>Associated University Presses</t>
  </si>
  <si>
    <t>Susquehanna University Press</t>
  </si>
  <si>
    <t>Dion, Sheri K.;Belanger, Alisa</t>
  </si>
  <si>
    <t>Z1001.F746 2016</t>
  </si>
  <si>
    <t>Bibliography--France.</t>
  </si>
  <si>
    <t>Encyclopedia of Cryptozoology : A Global Guide to Hidden Animals and Their Pursuers</t>
  </si>
  <si>
    <t>Science; General Works/Reference; Science: Zoology</t>
  </si>
  <si>
    <t>QL88.3 .N498 2005</t>
  </si>
  <si>
    <t>001.944/03</t>
  </si>
  <si>
    <t>Cryptozoology-Encyclopedias.</t>
  </si>
  <si>
    <t>A Multilingual Dictionary of Maxims and Proverbs</t>
  </si>
  <si>
    <t>Cambridge Scholars Publishing</t>
  </si>
  <si>
    <t>Karagiorgos, Panos</t>
  </si>
  <si>
    <t>GR1.M858 2017eb</t>
  </si>
  <si>
    <t>Proverbs.</t>
  </si>
  <si>
    <t>The Thiselton Companion to Christian Theology</t>
  </si>
  <si>
    <t>Eerdmans</t>
  </si>
  <si>
    <t>Thiselton, Anthony C.</t>
  </si>
  <si>
    <t>BR95.T54 2015</t>
  </si>
  <si>
    <t>Christianity--Dictionaries.</t>
  </si>
  <si>
    <t>The American Sign Language Handshape Starter : A Beginner's Guide</t>
  </si>
  <si>
    <t>Gallaudet University Press</t>
  </si>
  <si>
    <t>Tennant, Richard A.;Brown, Marianne Gluszak;Nelson-Metlay, Valerie</t>
  </si>
  <si>
    <t>HV2474</t>
  </si>
  <si>
    <t>American Sign Language.</t>
  </si>
  <si>
    <t>Bibliography of Natural History Travel Narratives</t>
  </si>
  <si>
    <t>Koninklijke Nederlandse Natuurhistorische Vereniging, Stichting Uitgeverij</t>
  </si>
  <si>
    <t>Troelstra, Anne S.</t>
  </si>
  <si>
    <t>Old English Words and Terms : A Glossary for Historians</t>
  </si>
  <si>
    <t>Bristow, Joy</t>
  </si>
  <si>
    <t>Nursing TEAS Guide</t>
  </si>
  <si>
    <t>BarCharts Publishing,  Inc.</t>
  </si>
  <si>
    <t>Quickstudy Reference Guides</t>
  </si>
  <si>
    <t>Henry, Julie;Henry</t>
  </si>
  <si>
    <t>LB2353.7.T43 .N877 2015</t>
  </si>
  <si>
    <t>Test of Essential Academic Skills-Study guides. ; College entrance achievement tests-United States-Study guides.</t>
  </si>
  <si>
    <t>MLA Guidelines</t>
  </si>
  <si>
    <t>BarCharts, Inc.</t>
  </si>
  <si>
    <t>QuickStudy Reference Guides</t>
  </si>
  <si>
    <t>Smith, Thomas</t>
  </si>
  <si>
    <t>PN171.F56 .M53 2015</t>
  </si>
  <si>
    <t>Bibliographical citations-Handbooks, manuals, etc. ; Report writing-Handbooks, manuals, etc. ; Report writing-Outlines, syllabi, etc.</t>
  </si>
  <si>
    <t>APA Guidelines</t>
  </si>
  <si>
    <t>LB1047.3 .A63 2015</t>
  </si>
  <si>
    <t>Report writing-Outlines, syllabi, etc. ; Authorship-Style manuals.</t>
  </si>
  <si>
    <t>Commonly Misspelled And Confused Words : QuickStudy Reference Guide</t>
  </si>
  <si>
    <t>Quickstudy: Academic</t>
  </si>
  <si>
    <t>BarCharts, Inc.;Thompson, Dominic;BarCharts Inc., Staff</t>
  </si>
  <si>
    <t>PE1143 .C666 2003</t>
  </si>
  <si>
    <t>English language-Orthography and spelling-Outlines, syllabi, etc. ; English language-Orthography and spelling-Glossaries, vocabularies, etc.</t>
  </si>
  <si>
    <t>ANU Lives Series in Biography</t>
  </si>
  <si>
    <t>CT103.J664 2017</t>
  </si>
  <si>
    <t>Biography--Dictionaries.</t>
  </si>
  <si>
    <t>Merriam-Webster's Concise Dictionary of English Usage</t>
  </si>
  <si>
    <t>Merriam-Webster, Incorporated</t>
  </si>
  <si>
    <t>Merriam-Webster</t>
  </si>
  <si>
    <t>PE1464.M47 2002</t>
  </si>
  <si>
    <t>Biomedical Engineering Dictionary of Technical Terms and Phrases : English to Arabic and Arabic to English</t>
  </si>
  <si>
    <t>Momentum Press</t>
  </si>
  <si>
    <t>Shady, Sally F.</t>
  </si>
  <si>
    <t>R856.A3</t>
  </si>
  <si>
    <t>Biomedical engineering.</t>
  </si>
  <si>
    <t>Encyclopedia of Nursing Research</t>
  </si>
  <si>
    <t>Fitzpatrick, Joyce J.</t>
  </si>
  <si>
    <t>RT81.5.E539 2018</t>
  </si>
  <si>
    <t>Nursing--Research.</t>
  </si>
  <si>
    <t>The Chicago Food Encyclopedia</t>
  </si>
  <si>
    <t>Heartland Foodways Ser.</t>
  </si>
  <si>
    <t>Haddix, Carol;Kraig, Bruce;Sen, Colleen Taylor;Lewis, Russell</t>
  </si>
  <si>
    <t>Health; Engineering: Chemical; Engineering</t>
  </si>
  <si>
    <t>TX360</t>
  </si>
  <si>
    <t>Food--Illinois--Chicago--History--Encyclopedias.</t>
  </si>
  <si>
    <t>History of the Arabic Written Tradition Supplement Volume 1</t>
  </si>
  <si>
    <t>European Employment Law : A Brief Guide to the Essential Elements</t>
  </si>
  <si>
    <t>Smyth, Claire-Michelle</t>
  </si>
  <si>
    <t>KJC2855$b.S698 2017</t>
  </si>
  <si>
    <t>Labor laws and legislation-Europe.</t>
  </si>
  <si>
    <t>Brill's Companion to Anarchism and Philosophy</t>
  </si>
  <si>
    <t>Brill's Companions to Philosophy Ser.</t>
  </si>
  <si>
    <t>Jun, Nathan J.</t>
  </si>
  <si>
    <t>HX833.B755 2018</t>
  </si>
  <si>
    <t>Anarchism--Philosophy.</t>
  </si>
  <si>
    <t>Environmental Engineering Dictionary of Technical Terms and Phrases : English to Hungarian and Hungarian to English</t>
  </si>
  <si>
    <t>Hopcroft, Francis J.;Sirokman, Gergely</t>
  </si>
  <si>
    <t>Engineering: General; Business/Management</t>
  </si>
  <si>
    <t>Cross-Selling Financial Services : A Professional's Guide to Account Development</t>
  </si>
  <si>
    <t>Warren, Clifton T. Warren</t>
  </si>
  <si>
    <t>HG1616.M3$b.W377 2018</t>
  </si>
  <si>
    <t>Cross-selling financial services.</t>
  </si>
  <si>
    <t>A Guide to Mastery in Clinical Nursing : The Comprehensive Reference</t>
  </si>
  <si>
    <t>Fitzpatrick, Joyce J.;Alfes, Celeste M.;Hickman, Ronald</t>
  </si>
  <si>
    <t>RT41 .G853 2018</t>
  </si>
  <si>
    <t>Nursing.</t>
  </si>
  <si>
    <t>The Encyclopedia of Elder Care : The Comprehensive Resource on Geriatric Health and Social Care</t>
  </si>
  <si>
    <t>Capezuti, Elizabeth;Malone, Michael L.;Khan, Ariba;Baumann, Steven L.</t>
  </si>
  <si>
    <t>HV1461 .E539 2018</t>
  </si>
  <si>
    <t>Older people-Care-United States-Encyclopedias. ; Older people-Care-Canada-Encyclopedias. ; Older people-Medical care-United States-Encyclopedias.</t>
  </si>
  <si>
    <t>History of the Arabic Written Tradition Supplement Volume 2</t>
  </si>
  <si>
    <t>Environmental Engineering Dictionary of Technical Terms and Phrases : English to Greek and Greek to English</t>
  </si>
  <si>
    <t>Hopcroft, Francis J.;Michos, Georgios</t>
  </si>
  <si>
    <t>The Pocket Universal Principles of Art : 100 Key Concepts for Understanding, Analyzing, and Practicing Art</t>
  </si>
  <si>
    <t>Parks, John A.</t>
  </si>
  <si>
    <t>N33 .P375 2018</t>
  </si>
  <si>
    <t>Art-Dictionaries.</t>
  </si>
  <si>
    <t>Eye Pathology : An Atlas and Text</t>
  </si>
  <si>
    <t>Wolters Kluwer</t>
  </si>
  <si>
    <t>Ralph C. Eagle, Jr.</t>
  </si>
  <si>
    <t>RE67 .E245 2017</t>
  </si>
  <si>
    <t>Eye-Pathophysiology.</t>
  </si>
  <si>
    <t>Texas Almanac 2018-2019</t>
  </si>
  <si>
    <t>Alvarez, Elizabeth Cruce;Plocheck, Robert</t>
  </si>
  <si>
    <t>AY311.D3 T49 2018</t>
  </si>
  <si>
    <t>Almanacs, American-Texas-Periodicals. ; Texas-Politics and government-Periodicals. ; Texas-Description and travel-Periodicals. ; Texas-Directories.</t>
  </si>
  <si>
    <t>The Government Manager's Guide to Plain Language</t>
  </si>
  <si>
    <t>Berrett-Koehler Publishers, Incorporated</t>
  </si>
  <si>
    <t>Myers, Judith G.</t>
  </si>
  <si>
    <t>Business/Management; Language/Linguistics</t>
  </si>
  <si>
    <t>The Certified Six Sigma Green Belt Handbook</t>
  </si>
  <si>
    <t>Quality Press</t>
  </si>
  <si>
    <t>Roderick A. Munro;Govindarajan Ramu;Daniel J. Zrymiak</t>
  </si>
  <si>
    <t>TS156$b.R634 2015</t>
  </si>
  <si>
    <t>Quality control-Statistical methods-Handbooks, manuals, etc. ; Six sigma (Quality control standard)-Handbooks, manuals, etc. ; Production management-Handbooks, manuals, etc.</t>
  </si>
  <si>
    <t>The Certified Six Sigma Black Belt Handbook, Third Edition</t>
  </si>
  <si>
    <t>T.M. Kubiak;Donald W. Benbow</t>
  </si>
  <si>
    <t>TS156 .K835 2016</t>
  </si>
  <si>
    <t>658.4/013</t>
  </si>
  <si>
    <t>Six sigma (Quality control standard)-Handbooks, manuals, etc. ; Quality control-Statistical methods-Handbooks, manuals, etc.</t>
  </si>
  <si>
    <t>Dictionary of the Ben Cao Gang Mu, Volume 3 : Persons and Literary Sources</t>
  </si>
  <si>
    <t>Jinsheng, Zheng;Kirk, Nalini;Buell, Paul D.</t>
  </si>
  <si>
    <t>A North Country Almanac : Reflections of an Old-School Conservationist in a Modern World</t>
  </si>
  <si>
    <t>Michigan State University Press</t>
  </si>
  <si>
    <t>Dave Dempsey Environmental Studies</t>
  </si>
  <si>
    <t>Bailey, Thomas C.</t>
  </si>
  <si>
    <t>Agriculture</t>
  </si>
  <si>
    <t>S930</t>
  </si>
  <si>
    <t>The United States Holocaust Memorial Museum Encyclopedia of Camps and Ghettos, 1933-1945: Volume III : Camps and Ghettos under European Regimes Aligned with Nazi Germany</t>
  </si>
  <si>
    <t>The United States Holocaust Memorial Museum Encyclopedia of Camps and Ghettos, 1933-1945 Ser.</t>
  </si>
  <si>
    <t>Megargee, Geoffrey P.;White, Joseph R.;Hecker, Mel</t>
  </si>
  <si>
    <t>D805.A2 .U558 2018</t>
  </si>
  <si>
    <t>Concentration camps-Europe-Encyclopedias. ; Jewish ghettos-Europe, Eastern-Encyclopedias. ; World War, 1939-1945-Concentration camps-Europe-Encyclopedias.</t>
  </si>
  <si>
    <t>Handbook of Denominations in the United States, 14th Edition</t>
  </si>
  <si>
    <t>Abingdon Press</t>
  </si>
  <si>
    <t>Olson, Roger E.;Mead, Frank S.;Hill, Samuel S.;Atwood, Craig D.</t>
  </si>
  <si>
    <t>Legal Dictionary of Food Security in the World</t>
  </si>
  <si>
    <t>Larcier</t>
  </si>
  <si>
    <t>Dictionnaires Larcier Ser.</t>
  </si>
  <si>
    <t>Collart Dutilleul, François;Bugnicourt, Jean-Philippe</t>
  </si>
  <si>
    <t>HD9000.5 .L443 2013</t>
  </si>
  <si>
    <t>Food security-Dictionaries.</t>
  </si>
  <si>
    <t>ANU Lives Series in Biography Ser.</t>
  </si>
  <si>
    <t>CT103 .J664 2018</t>
  </si>
  <si>
    <t>Biography-Dictionaries.</t>
  </si>
  <si>
    <t>Evaluating Scholarship and Research Impact : History, Practices, and Policy Development</t>
  </si>
  <si>
    <t>Great Debates in Higher Education Ser.</t>
  </si>
  <si>
    <t>Alstete, Jeffrey W.;Beutell, Nicholas J.;Meyer, John P.</t>
  </si>
  <si>
    <t>LB2300-2430</t>
  </si>
  <si>
    <t>Scholarships.</t>
  </si>
  <si>
    <t>Dictionary of Digital Pictograms and Glossary for Internet Use and Portable Telephones</t>
  </si>
  <si>
    <t>Martin, Marcienne</t>
  </si>
  <si>
    <t>GR931 .M378 2018</t>
  </si>
  <si>
    <t>Signs and symbols-Dictionaries. ; Semiotics.</t>
  </si>
  <si>
    <t>Latin Grammar : A QuickStudy Language Reference Guide</t>
  </si>
  <si>
    <t>Arnet, Liliane;Jacobs, Rachel</t>
  </si>
  <si>
    <t>PA2087 .J336 2018</t>
  </si>
  <si>
    <t>Latin language-Grammar.</t>
  </si>
  <si>
    <t>Pseudophakic Monovision : A Clinical Guide</t>
  </si>
  <si>
    <t>Thieme Medical Publishers, Incorporated</t>
  </si>
  <si>
    <t>Zhang, Fuxiang;Sugar, Alan;Barrett, Graham D.</t>
  </si>
  <si>
    <t>RE938.5 .Z436 2019</t>
  </si>
  <si>
    <t>617.7/55</t>
  </si>
  <si>
    <t>Emotion and the Researcher : Sites, Subjectivities, and Relationships</t>
  </si>
  <si>
    <t>Studies in Qualitative Methodology Ser.</t>
  </si>
  <si>
    <t>Loughran, Tracey;Mannay, Dawn</t>
  </si>
  <si>
    <t>HM1001-1281</t>
  </si>
  <si>
    <t>Emotions (Philosophy) ; Research.</t>
  </si>
  <si>
    <t>Carl Strehlow's 1909 Comparative Heritage Dictionary : An Aranda, German, Loritja and Dieri to English Dictionary with Introductory Essays</t>
  </si>
  <si>
    <t>Monographs in Anthropology Ser.</t>
  </si>
  <si>
    <t>Kenny, Anna</t>
  </si>
  <si>
    <t>PF3640 .C375 2018</t>
  </si>
  <si>
    <t>German language-Dictionaries-English. ; English language-Dictionaries-German. ; English language-Dictionaries-Western Arrernte. ; Western Arrernte language-Dictionaries-English.</t>
  </si>
  <si>
    <t>Copyright for Music Teachers</t>
  </si>
  <si>
    <t>Australian Copyright Council</t>
  </si>
  <si>
    <t>Johnson, Jerome</t>
  </si>
  <si>
    <t>KU1104.A13 .D358 2015</t>
  </si>
  <si>
    <t>Australia.-Copyright Act 1968. ; Music teachers-Legal status, laws, etc.-Australia. ; Copyright-Music-Australia.</t>
  </si>
  <si>
    <t>Copyright and Publishers</t>
  </si>
  <si>
    <t>Buckingham, Louise</t>
  </si>
  <si>
    <t>KU1104 .B835 2015</t>
  </si>
  <si>
    <t>Copyright-Australia. ; Intellectual property-Australia. ; Publishing-Australia.</t>
  </si>
  <si>
    <t>Annotated Bibliography of Southern American English</t>
  </si>
  <si>
    <t>University of Alabama Press</t>
  </si>
  <si>
    <t>McMillan, James B.;Montgomery, Michael B.</t>
  </si>
  <si>
    <t>Z1251</t>
  </si>
  <si>
    <t>016.427/975</t>
  </si>
  <si>
    <t>MemoryBanc : Your Workbook for Organizing Life: the Award-Winning System to Manage Your Documents, Accounts, and Assets</t>
  </si>
  <si>
    <t>Morgan James Publishing</t>
  </si>
  <si>
    <t>Bransford, Kay H.</t>
  </si>
  <si>
    <t>HD30.2 .B736 2015</t>
  </si>
  <si>
    <t>Personal information management.</t>
  </si>
  <si>
    <t>The Urban Rail Development Handbook</t>
  </si>
  <si>
    <t>Pulido, Daniel;Darido, Georges;Munoz-Raskin, Ramon;Moody, Joanna</t>
  </si>
  <si>
    <t>Engineering: Civil; Engineering; Business/Management</t>
  </si>
  <si>
    <t>TF845 .U733 2018</t>
  </si>
  <si>
    <t>Subways-Protection.</t>
  </si>
  <si>
    <t>Emblems in Scotland : Motifs and Meanings</t>
  </si>
  <si>
    <t>SCROLL: Scottish Cultural Review of Language and Literature Ser.</t>
  </si>
  <si>
    <t>Bath, Michael</t>
  </si>
  <si>
    <t>German Verbs : A QuickStudy Language Reference Guide</t>
  </si>
  <si>
    <t>Listen, Paul</t>
  </si>
  <si>
    <t>PF3271 .L578 2017</t>
  </si>
  <si>
    <t>German language-Verb-Tables. ; German language-Textbooks for foreign speakers-English.</t>
  </si>
  <si>
    <t>Spanish for Pediatric Medicine : A Practical Communication Guide</t>
  </si>
  <si>
    <t>American Academy of Pediatrics</t>
  </si>
  <si>
    <t>Machtinger, Edward L.;Nigrovic, Peter A.;Lowe, Janice A.</t>
  </si>
  <si>
    <t>PC4120.M3 .M334 2019</t>
  </si>
  <si>
    <t>Spanish language-Conversation and phrase books (for medical personnel) ; Pediatrics-Terminology.</t>
  </si>
  <si>
    <t>Handbook of Jewish Languages : Revised and Updated Edition</t>
  </si>
  <si>
    <t>Kahn, Lily;Rubin, Aaron D.</t>
  </si>
  <si>
    <t>PJ5061 .H363 2018</t>
  </si>
  <si>
    <t>Jews-Languages.</t>
  </si>
  <si>
    <t>America's Top-Rated Cities: a Statistical Handbook 2018</t>
  </si>
  <si>
    <t>HT151 .A447 2018</t>
  </si>
  <si>
    <t>Cities and towns-Ratings and rankings.</t>
  </si>
  <si>
    <t>Brill's Companion to Classics and Early Anthropology</t>
  </si>
  <si>
    <t>Brill's Companions to Classical Reception Ser.</t>
  </si>
  <si>
    <t>Varto, Emily</t>
  </si>
  <si>
    <t>The Governor General’s Literary Awards of Canada : A Bibliography</t>
  </si>
  <si>
    <t>University of Ottawa Press</t>
  </si>
  <si>
    <t>Irvine, Andrew David;Rivère, Edmond;Tolman, Stephanie</t>
  </si>
  <si>
    <t>How to Get Grant Money in the Humanities and Social Sciences</t>
  </si>
  <si>
    <t>Folsom, Raphael Brewster</t>
  </si>
  <si>
    <t>Cosmetic Injection Techniques : A Text and Video Guide to Neurotoxins and Fillers</t>
  </si>
  <si>
    <t>Kontis, Theda C.;Lacombe, Victor G.</t>
  </si>
  <si>
    <t>RD119.5.F33 .K668 2019</t>
  </si>
  <si>
    <t>617.5/20592</t>
  </si>
  <si>
    <t>Handbook of Pragmatics : 2017-2018 Installment</t>
  </si>
  <si>
    <t>Handbook of Pragmatics Ser.</t>
  </si>
  <si>
    <t>Östman, Jan-Ola;Verschueren, Jef</t>
  </si>
  <si>
    <t>P99.4</t>
  </si>
  <si>
    <t>Pragmatics-Handbooks, manuals, etc.</t>
  </si>
  <si>
    <t>Spine Essentials Handbook : A Bulleted Review of Anatomy, Evaluation, Imaging, Tests, and Procedures</t>
  </si>
  <si>
    <t>Singh, Kern</t>
  </si>
  <si>
    <t>RD768 .S564 2019</t>
  </si>
  <si>
    <t>Spine-Surgery-Handbooks, manuals, etc.</t>
  </si>
  <si>
    <t>Voice and Communication Therapy for the Transgender/Transsexual Client : A Comprehensive Guide</t>
  </si>
  <si>
    <t>Adler, Richard K.;Hirsch, Sandy;Pickering, Jack</t>
  </si>
  <si>
    <t>RF510 .V653 2019</t>
  </si>
  <si>
    <t>Voice disorders-Treatment. ; Communicative disorders-Treatment.</t>
  </si>
  <si>
    <t>Canadian Almanac and Directory 2019</t>
  </si>
  <si>
    <t>Paterson, Stuart</t>
  </si>
  <si>
    <t>Geography/Travel; History</t>
  </si>
  <si>
    <t>F1004.7 .C363 2018</t>
  </si>
  <si>
    <t>Almanacs, Canadian. ; Canada-Directories.</t>
  </si>
  <si>
    <t>Hearing Aid Dispensing Training Manual : Second Edition</t>
  </si>
  <si>
    <t>Krumenacker, Suzanne</t>
  </si>
  <si>
    <t>RF303 .K786 2019</t>
  </si>
  <si>
    <t>617.8/9</t>
  </si>
  <si>
    <t>Comprehensive Dictionary of Audiology : Illustrated</t>
  </si>
  <si>
    <t>Stach, Brad A.</t>
  </si>
  <si>
    <t>RF291 .S733 2019</t>
  </si>
  <si>
    <t>617.8/003</t>
  </si>
  <si>
    <t>The SIS Football Rookie Handbook 2019 : Comprehensive Scouting and Analysis Guide</t>
  </si>
  <si>
    <t>ACTA Sports</t>
  </si>
  <si>
    <t>Sports Info Solutions;Manocherian, Matt</t>
  </si>
  <si>
    <t>GV939.A1 .S667 2019</t>
  </si>
  <si>
    <t>Football players-United States.</t>
  </si>
  <si>
    <t>Freshwater Mollusks of the World : A Distribution Atlas</t>
  </si>
  <si>
    <t>Lydeard, Charles;Cummings, Kevin S.</t>
  </si>
  <si>
    <t>Close Reading with Computers : Textual Scholarship, Computational Formalism, and David Mitchell's Cloud Atlas</t>
  </si>
  <si>
    <t>Eve, Martin Paul</t>
  </si>
  <si>
    <t>PR6063.I785 .E94 2019</t>
  </si>
  <si>
    <t>Mitchell, David-(David Stephen).-Cloud atlas-Criticism, Textual. ; Criticism, Textual-Methodology-Computer programs. ; Digital humanities-Research-Methodology.</t>
  </si>
  <si>
    <t>Sears List of Subject Headings, 22nd Edition</t>
  </si>
  <si>
    <t>H.W. Wilson</t>
  </si>
  <si>
    <t>Bristow, Barbara A.</t>
  </si>
  <si>
    <t>Z695 .S437 2018</t>
  </si>
  <si>
    <t>Subject headings.</t>
  </si>
  <si>
    <t>Freud Verbatim : Quotations and Aphorisms</t>
  </si>
  <si>
    <t>ABRAMS (Ignition)</t>
  </si>
  <si>
    <t>Abrams Press</t>
  </si>
  <si>
    <t>Freud, Sigmund;Etzlstorfer, Hannes;Nömaier, Peter</t>
  </si>
  <si>
    <t>Applications of Good Psychiatric Management for Borderline Personality Disorder : A Practical Guide</t>
  </si>
  <si>
    <t>American Psychiatric Association Publishing</t>
  </si>
  <si>
    <t>Choi-Kain, Lois W.;Gunderson, John G.</t>
  </si>
  <si>
    <t>RC569.5.B67 .A675 2019</t>
  </si>
  <si>
    <t>Borderline personality disorder-Diagnosis. ; Psychotherapy-Research.</t>
  </si>
  <si>
    <t>Plotted : A Literary Atlas</t>
  </si>
  <si>
    <t>Lerner Publishing Group</t>
  </si>
  <si>
    <t>Zest Books</t>
  </si>
  <si>
    <t>Harmon, Daniel;DeGraff, Andrew</t>
  </si>
  <si>
    <t>809/.9332</t>
  </si>
  <si>
    <t>Kaplan and Sadock's Pocket Handbook of Psychiatric Drug Treatment</t>
  </si>
  <si>
    <t>Sadock, Benjamin;Sadock, Virginia A.;Sussman, Norman</t>
  </si>
  <si>
    <t>RM315 .S236 2019</t>
  </si>
  <si>
    <t>616.89/18</t>
  </si>
  <si>
    <t>Psychopharmacology-Handbooks, manuals, etc.</t>
  </si>
  <si>
    <t>A Companion to Medieval Translation</t>
  </si>
  <si>
    <t>Arc Humanities Press</t>
  </si>
  <si>
    <t>Arc Companions Ser.</t>
  </si>
  <si>
    <t>Beer, Jeanette</t>
  </si>
  <si>
    <t>PN241</t>
  </si>
  <si>
    <t>Manx Crosses: a Handbook of Stone Sculpture 500-1040 in the Isle of Man</t>
  </si>
  <si>
    <t>Archaeopress</t>
  </si>
  <si>
    <t>Wilson, David M.</t>
  </si>
  <si>
    <t>CC312.M3 W55 2018</t>
  </si>
  <si>
    <t>Crosses-Isle of Man-Handbooks, manuals, etc. ; Stone carving-Isle of Man-Handbooks, manuals, etc. ; Isle of Man-Antiquities-Handbooks, manuals, etc.</t>
  </si>
  <si>
    <t>The Churchill Companion : A Concise Guide to the Life and Times of Winston S. Churchill</t>
  </si>
  <si>
    <t>RosettaBooks</t>
  </si>
  <si>
    <t>The Churchill Centre, The Churchill;Langworth, Richard M.</t>
  </si>
  <si>
    <t>DA566.9.C5 .C487 2015</t>
  </si>
  <si>
    <t>Churchill, Winston,-1874-1965.</t>
  </si>
  <si>
    <t>Encyclopedia : Art of Africa Volume 1</t>
  </si>
  <si>
    <t>Austin Macauley Publishers</t>
  </si>
  <si>
    <t>Shakarov, Avner</t>
  </si>
  <si>
    <t>N31 .S535 2019</t>
  </si>
  <si>
    <t>Art-Encyclopedias.</t>
  </si>
  <si>
    <t>Endoscopic Transnasal Anatomy of the Skull Base and Adjacent Areas : A Lab Dissection and Radiological Atlas</t>
  </si>
  <si>
    <t>Nicolai, Piero;Ferrari, Marco;Maroldi, Roberto</t>
  </si>
  <si>
    <t>RD529 .N536 2020</t>
  </si>
  <si>
    <t>Skull base-Surgery.</t>
  </si>
  <si>
    <t>Operative Techniques in Gynecologic Surgery : Urogynecology</t>
  </si>
  <si>
    <t>Tarnay, Christopher;Berek, Jonathan S.</t>
  </si>
  <si>
    <t>Handbook of Narrative Analysis</t>
  </si>
  <si>
    <t>Frontiers of Narrative</t>
  </si>
  <si>
    <t>Herman, Luc;Vervaeck, Bart</t>
  </si>
  <si>
    <t>PN212 .H47 2019</t>
  </si>
  <si>
    <t>Narration (Rhetoric)</t>
  </si>
  <si>
    <t>Building an Effective Cybersecurity Program, 2nd Edition</t>
  </si>
  <si>
    <t>Rothstein Associates, Incorporated</t>
  </si>
  <si>
    <t>Schreider, Tari</t>
  </si>
  <si>
    <t>Computer Science/IT; Business/Management</t>
  </si>
  <si>
    <t>Ultimate Bible Dictionary : A Quick and Concise Guide to the People, Places, Objects, and Events in the Bible</t>
  </si>
  <si>
    <t>B&amp;H Publishing Group</t>
  </si>
  <si>
    <t>Holman Bible Publishers</t>
  </si>
  <si>
    <t>Holman Bible Editorial Staff</t>
  </si>
  <si>
    <t>World History As the History of Foundations, 3000 BCE to 1500 CE</t>
  </si>
  <si>
    <t>Borgolte, Michael</t>
  </si>
  <si>
    <t>K797 .B674 2020</t>
  </si>
  <si>
    <t>Charitable uses, trusts, and foundations.</t>
  </si>
  <si>
    <t>A Handbook to Old Testament Exegesis</t>
  </si>
  <si>
    <t>Presbyterian Publishing Corporation</t>
  </si>
  <si>
    <t>Westminster John Knox Press</t>
  </si>
  <si>
    <t>Brown, William P.</t>
  </si>
  <si>
    <t>A Handbook of Nuclear Applications in Humans' Lives</t>
  </si>
  <si>
    <t>Tabbakh, Farshid</t>
  </si>
  <si>
    <t>Engineering: Electrical; Engineering: General; Engineering</t>
  </si>
  <si>
    <t>TK9152 .T333 2020</t>
  </si>
  <si>
    <t>Nuclear engineering-Safety measures.</t>
  </si>
  <si>
    <t>The Pianist's Dictionary</t>
  </si>
  <si>
    <t>Hinson, Maurice;Roberts, Wesley</t>
  </si>
  <si>
    <t>ML102.P5$b.H567 2020</t>
  </si>
  <si>
    <t>786.2/03</t>
  </si>
  <si>
    <t>Piano-Dictionaries.</t>
  </si>
  <si>
    <t>Citizen Power : A Citizen Leadership Manual Introducing the Art of No-Blame Problem Solving</t>
  </si>
  <si>
    <t>Pozycki, Harry S.</t>
  </si>
  <si>
    <t>JK1764</t>
  </si>
  <si>
    <t>323/.0420973</t>
  </si>
  <si>
    <t>A Concise Dictionary of Theological Terms</t>
  </si>
  <si>
    <t>B&amp;H Academic</t>
  </si>
  <si>
    <t>Morgan, Christopher W.;Peterson, Robert A.</t>
  </si>
  <si>
    <t>BR95$b.M67 2020</t>
  </si>
  <si>
    <t>Theology-Dictionaries.</t>
  </si>
  <si>
    <t>Pilot's Handbook of Aeronautical Knowledge (2023) : Faa-H-8083-25b</t>
  </si>
  <si>
    <t>Aviation Supplies &amp; Academics, Incorporated</t>
  </si>
  <si>
    <t>Federal Aviation Administration (FAA);U.S. Department of Transportation;Aviation Supplies &amp; Academics (ASA)</t>
  </si>
  <si>
    <t>Engineering</t>
  </si>
  <si>
    <t>Encyclopedia of American Short Films, 1926-1959</t>
  </si>
  <si>
    <t>PN1995.9.S53 .W433 2020</t>
  </si>
  <si>
    <t>Short films-United States-Encyclopedias.</t>
  </si>
  <si>
    <t>Dictionary of World Monasticism</t>
  </si>
  <si>
    <t>BL631 .O43 2020</t>
  </si>
  <si>
    <t>Monasticism and religious orders-Dictionaries.</t>
  </si>
  <si>
    <t>Grammar of Central Trentino : A Romance Dialect from North-East Italy</t>
  </si>
  <si>
    <t>Grammars and Sketches of the World's Languages Ser.</t>
  </si>
  <si>
    <t>Casalicchio, Jan;Cordin, Patrizia</t>
  </si>
  <si>
    <t>Texas Almanac 2020-2021</t>
  </si>
  <si>
    <t>Hatch, Rosie</t>
  </si>
  <si>
    <t>Geography/Travel; General Works/Reference</t>
  </si>
  <si>
    <t>AY311.A8$b.H383 2020</t>
  </si>
  <si>
    <t>Almanacs, American-Texas.</t>
  </si>
  <si>
    <t>Miziker's Complete Event Planner's Handbook : Tips, Terminology, and Techniques for Success</t>
  </si>
  <si>
    <t>University of New Mexico Press</t>
  </si>
  <si>
    <t>Miziker, Ron</t>
  </si>
  <si>
    <t>GT3405 .M595 2015</t>
  </si>
  <si>
    <t>Special events-Planning-Handbooks, manuals, etc. ; Special events-Management-Handbooks, manuals, etc. ; Meetings-Planning-Handbooks, manuals, etc.</t>
  </si>
  <si>
    <t>The ISO 45001:2018 Implementation Handbook : Guidance on Building an Occupational Health and Safety Management System</t>
  </si>
  <si>
    <t>RC967 .D47 2018</t>
  </si>
  <si>
    <t>616.9/803—dc23</t>
  </si>
  <si>
    <t>Industrial hygiene-Management-Standards.</t>
  </si>
  <si>
    <t>Dictionary of French Family Names in North America : Onomastics and Genealogy</t>
  </si>
  <si>
    <t>Picard, Marc</t>
  </si>
  <si>
    <t>CS2700 .P533 2020</t>
  </si>
  <si>
    <t>Names, Personal-French-North America-Dictionaries.</t>
  </si>
  <si>
    <t>A Latin Lexicon: an Illustrated Compendium of Latin Words and English Derivatives</t>
  </si>
  <si>
    <t>Mackenzie, Caroline K.;Short, Amanda</t>
  </si>
  <si>
    <t>PA2365.E5 .M335 2020</t>
  </si>
  <si>
    <t>Latin language-Dictionaries-English.</t>
  </si>
  <si>
    <t>CT103$b.J664 2020</t>
  </si>
  <si>
    <t>Encyclopedia of the United States Cabinet</t>
  </si>
  <si>
    <t>Dean, Dewayne</t>
  </si>
  <si>
    <t>E176 .D436 2019</t>
  </si>
  <si>
    <t>Cabinet officers-United States-Biography-Encyclopedias. ; Cabinet officers-United States-History-Encyclopedias. ; United States-Politics and government-Encyclopedias.</t>
  </si>
  <si>
    <t>The Religious Right and American Politics</t>
  </si>
  <si>
    <t>Utter, Glenn</t>
  </si>
  <si>
    <t>BR516 .U884 2019</t>
  </si>
  <si>
    <t>Christianity and politics-United States.</t>
  </si>
  <si>
    <t>From Suffrage to the Senate : America's Political Women: an Encyclopedia of Leader, Causes and Issues</t>
  </si>
  <si>
    <t>Suzanne, O'Dea</t>
  </si>
  <si>
    <t>HQ1236.5.U6 .O343 2019</t>
  </si>
  <si>
    <t>Women-Political activity-United States-Encyclopedias.</t>
  </si>
  <si>
    <t>The Death Penalty</t>
  </si>
  <si>
    <t>Opinions Throughout History Ser.</t>
  </si>
  <si>
    <t>Issit, Micah</t>
  </si>
  <si>
    <t>HV8699.U5 .I875 2019</t>
  </si>
  <si>
    <t>Capital punishment-United States-History-Sources.</t>
  </si>
  <si>
    <t>The Handbook of New Zealand Mammals</t>
  </si>
  <si>
    <t>CSIRO Publishing</t>
  </si>
  <si>
    <t>King, Carolyn M.;Forsyth, David M.</t>
  </si>
  <si>
    <t>A Dictionary of the Safaitic Inscriptions</t>
  </si>
  <si>
    <t>Studies in Semitic Languages and Linguistics Ser.</t>
  </si>
  <si>
    <t>Al-Jallad, Ahmad;Jaworska, Karolina</t>
  </si>
  <si>
    <t>Canadian Almanac and Directory 2020</t>
  </si>
  <si>
    <t>Grey House Publishing Canada</t>
  </si>
  <si>
    <t>Autoimmune Diseases Handbook and Resource Guide</t>
  </si>
  <si>
    <t>Grey House Health and Wellness Guides</t>
  </si>
  <si>
    <t>Mars, Laura</t>
  </si>
  <si>
    <t>Health</t>
  </si>
  <si>
    <t>Cardiovascular Disease Handbook and Resource Guide</t>
  </si>
  <si>
    <t>RC667</t>
  </si>
  <si>
    <t>Cardiovascular system--Diseases. ; Cardiovascular system--Diseases--Handbooks, manuals, etc. ; United States.</t>
  </si>
  <si>
    <t>QuickRef Orthopaedic Procedures Atlas</t>
  </si>
  <si>
    <t>Wolters Kluwer Health</t>
  </si>
  <si>
    <t>Colvin, Alexis C.;Flatow, Evan</t>
  </si>
  <si>
    <t>RD733.2 .Q53 2021</t>
  </si>
  <si>
    <t>Orthopedic surgery-Atlases.</t>
  </si>
  <si>
    <t>A Handbook on Stuttering</t>
  </si>
  <si>
    <t>Bloodstein, Oliver;Brundage, Shelley B.;Ratner, Nan Bernstein</t>
  </si>
  <si>
    <t>RC424</t>
  </si>
  <si>
    <t>616.85/54</t>
  </si>
  <si>
    <t>Stuttering.</t>
  </si>
  <si>
    <t>Handbook for Principles and Practice of Gynecologic Oncology</t>
  </si>
  <si>
    <t>Levine, Douglas A.;Lin, Lillie;Gaillard, Stephanie</t>
  </si>
  <si>
    <t>RC280.G5 H363 2021</t>
  </si>
  <si>
    <t>Generative organs, Female-Cancer-Handbooks, manuals, etc.</t>
  </si>
  <si>
    <t>Aeronautical Chart User's Guide</t>
  </si>
  <si>
    <t>Psychopharmacology : A mental health professional’s guide to commonly used medications</t>
  </si>
  <si>
    <t>Critical Publishing</t>
  </si>
  <si>
    <t>Mwebe, Herbert</t>
  </si>
  <si>
    <t>RC483 .M843 2021</t>
  </si>
  <si>
    <t>Psychopharmacology-Handbooks, manuals, etc. ; Psychopharmacology.</t>
  </si>
  <si>
    <t>Airplane Flying Handbook (2023) : Faa-H-8083-3c</t>
  </si>
  <si>
    <t>Encyclopedia of Ancient Deities</t>
  </si>
  <si>
    <t>Coulter, Charles Russell;Turner, Patricia</t>
  </si>
  <si>
    <t>A Dictionary of Vurës, Vanuatu</t>
  </si>
  <si>
    <t>Asia-Pacific Linguistics Ser.</t>
  </si>
  <si>
    <t>Malau, Catriona</t>
  </si>
  <si>
    <t>PL6335</t>
  </si>
  <si>
    <t>Language and languages. ; Vanuatu. ; Vanuatu--Languages.</t>
  </si>
  <si>
    <t>Rote-Meto Comparative Dictionary</t>
  </si>
  <si>
    <t>Edwards, Owen</t>
  </si>
  <si>
    <t>PL6174</t>
  </si>
  <si>
    <t>Austronesian languages.</t>
  </si>
  <si>
    <t>Wampar-English Dictionary : With an English-Wampar Finder List</t>
  </si>
  <si>
    <t>Beer, Bettina;Fischer, Hans</t>
  </si>
  <si>
    <t>PL6254.M394</t>
  </si>
  <si>
    <t>Language and languages. ; Wampar language.</t>
  </si>
  <si>
    <t>The Archaeological Dictionary: English-Greek/Greek-English</t>
  </si>
  <si>
    <t>Archaeopress Archaeology</t>
  </si>
  <si>
    <t>Koutsoumpos, Nikos</t>
  </si>
  <si>
    <t>The Massachusetts General Hospital Handbook of Pain Management</t>
  </si>
  <si>
    <t>Brenner, Gary;Rathmell, James</t>
  </si>
  <si>
    <t>RD82.2 .B746 2021</t>
  </si>
  <si>
    <t>Analgesia-Handbooks, manuals, etc.</t>
  </si>
  <si>
    <t>Nutrition, Obesity and Eating Disorders Handbook and Resource Guide</t>
  </si>
  <si>
    <t>RA784</t>
  </si>
  <si>
    <t>Eating disorders. ; Nutrition. ; Nutrition--Handbooks, manuals, etc.</t>
  </si>
  <si>
    <t>Encyclopedia of Cat Breeds</t>
  </si>
  <si>
    <t>Sourcebooks</t>
  </si>
  <si>
    <t>Helgren, J. Anne</t>
  </si>
  <si>
    <t>SF442.2</t>
  </si>
  <si>
    <t>Cat breeds. ; Cats.</t>
  </si>
  <si>
    <t>A Grammar of Old Assyrian</t>
  </si>
  <si>
    <t>Kouwenberg, N. J. C.</t>
  </si>
  <si>
    <t>https://ebookcentral.proquest.com/lib/kyungpook/detail.action?docID=179196</t>
  </si>
  <si>
    <t>https://ebookcentral.proquest.com/lib/kyungpook/detail.action?docID=200868</t>
  </si>
  <si>
    <t>https://ebookcentral.proquest.com/lib/kyungpook/detail.action?docID=214153</t>
  </si>
  <si>
    <t>https://ebookcentral.proquest.com/lib/kyungpook/detail.action?docID=221097</t>
  </si>
  <si>
    <t>https://ebookcentral.proquest.com/lib/kyungpook/detail.action?docID=228305</t>
  </si>
  <si>
    <t>https://ebookcentral.proquest.com/lib/kyungpook/detail.action?docID=233005</t>
  </si>
  <si>
    <t>https://ebookcentral.proquest.com/lib/kyungpook/detail.action?docID=239820</t>
  </si>
  <si>
    <t>https://ebookcentral.proquest.com/lib/kyungpook/detail.action?docID=244010</t>
  </si>
  <si>
    <t>https://ebookcentral.proquest.com/lib/kyungpook/detail.action?docID=244078</t>
  </si>
  <si>
    <t>https://ebookcentral.proquest.com/lib/kyungpook/detail.action?docID=254986</t>
  </si>
  <si>
    <t>https://ebookcentral.proquest.com/lib/kyungpook/detail.action?docID=256635</t>
  </si>
  <si>
    <t>https://ebookcentral.proquest.com/lib/kyungpook/detail.action?docID=256877</t>
  </si>
  <si>
    <t>https://ebookcentral.proquest.com/lib/kyungpook/detail.action?docID=258492</t>
  </si>
  <si>
    <t>https://ebookcentral.proquest.com/lib/kyungpook/detail.action?docID=263119</t>
  </si>
  <si>
    <t>https://ebookcentral.proquest.com/lib/kyungpook/detail.action?docID=269808</t>
  </si>
  <si>
    <t>https://ebookcentral.proquest.com/lib/kyungpook/detail.action?docID=274870</t>
  </si>
  <si>
    <t>https://ebookcentral.proquest.com/lib/kyungpook/detail.action?docID=284088</t>
  </si>
  <si>
    <t>https://ebookcentral.proquest.com/lib/kyungpook/detail.action?docID=284117</t>
  </si>
  <si>
    <t>https://ebookcentral.proquest.com/lib/kyungpook/detail.action?docID=284206</t>
  </si>
  <si>
    <t>https://ebookcentral.proquest.com/lib/kyungpook/detail.action?docID=288613</t>
  </si>
  <si>
    <t>https://ebookcentral.proquest.com/lib/kyungpook/detail.action?docID=288664</t>
  </si>
  <si>
    <t>https://ebookcentral.proquest.com/lib/kyungpook/detail.action?docID=288665</t>
  </si>
  <si>
    <t>https://ebookcentral.proquest.com/lib/kyungpook/detail.action?docID=288666</t>
  </si>
  <si>
    <t>https://ebookcentral.proquest.com/lib/kyungpook/detail.action?docID=288667</t>
  </si>
  <si>
    <t>https://ebookcentral.proquest.com/lib/kyungpook/detail.action?docID=288668</t>
  </si>
  <si>
    <t>https://ebookcentral.proquest.com/lib/kyungpook/detail.action?docID=288669</t>
  </si>
  <si>
    <t>https://ebookcentral.proquest.com/lib/kyungpook/detail.action?docID=288670</t>
  </si>
  <si>
    <t>https://ebookcentral.proquest.com/lib/kyungpook/detail.action?docID=288671</t>
  </si>
  <si>
    <t>https://ebookcentral.proquest.com/lib/kyungpook/detail.action?docID=288672</t>
  </si>
  <si>
    <t>https://ebookcentral.proquest.com/lib/kyungpook/detail.action?docID=288673</t>
  </si>
  <si>
    <t>https://ebookcentral.proquest.com/lib/kyungpook/detail.action?docID=293094</t>
  </si>
  <si>
    <t>https://ebookcentral.proquest.com/lib/kyungpook/detail.action?docID=293114</t>
  </si>
  <si>
    <t>https://ebookcentral.proquest.com/lib/kyungpook/detail.action?docID=293711</t>
  </si>
  <si>
    <t>https://ebookcentral.proquest.com/lib/kyungpook/detail.action?docID=295703</t>
  </si>
  <si>
    <t>https://ebookcentral.proquest.com/lib/kyungpook/detail.action?docID=311221</t>
  </si>
  <si>
    <t>https://ebookcentral.proquest.com/lib/kyungpook/detail.action?docID=311243</t>
  </si>
  <si>
    <t>https://ebookcentral.proquest.com/lib/kyungpook/detail.action?docID=311272</t>
  </si>
  <si>
    <t>https://ebookcentral.proquest.com/lib/kyungpook/detail.action?docID=320054</t>
  </si>
  <si>
    <t>https://ebookcentral.proquest.com/lib/kyungpook/detail.action?docID=320058</t>
  </si>
  <si>
    <t>https://ebookcentral.proquest.com/lib/kyungpook/detail.action?docID=321093</t>
  </si>
  <si>
    <t>https://ebookcentral.proquest.com/lib/kyungpook/detail.action?docID=321206</t>
  </si>
  <si>
    <t>https://ebookcentral.proquest.com/lib/kyungpook/detail.action?docID=321303</t>
  </si>
  <si>
    <t>https://ebookcentral.proquest.com/lib/kyungpook/detail.action?docID=321438</t>
  </si>
  <si>
    <t>https://ebookcentral.proquest.com/lib/kyungpook/detail.action?docID=328888</t>
  </si>
  <si>
    <t>https://ebookcentral.proquest.com/lib/kyungpook/detail.action?docID=328891</t>
  </si>
  <si>
    <t>https://ebookcentral.proquest.com/lib/kyungpook/detail.action?docID=334565</t>
  </si>
  <si>
    <t>https://ebookcentral.proquest.com/lib/kyungpook/detail.action?docID=334587</t>
  </si>
  <si>
    <t>https://ebookcentral.proquest.com/lib/kyungpook/detail.action?docID=334990</t>
  </si>
  <si>
    <t>https://ebookcentral.proquest.com/lib/kyungpook/detail.action?docID=335096</t>
  </si>
  <si>
    <t>https://ebookcentral.proquest.com/lib/kyungpook/detail.action?docID=336080</t>
  </si>
  <si>
    <t>https://ebookcentral.proquest.com/lib/kyungpook/detail.action?docID=336085</t>
  </si>
  <si>
    <t>https://ebookcentral.proquest.com/lib/kyungpook/detail.action?docID=336086</t>
  </si>
  <si>
    <t>https://ebookcentral.proquest.com/lib/kyungpook/detail.action?docID=336089</t>
  </si>
  <si>
    <t>https://ebookcentral.proquest.com/lib/kyungpook/detail.action?docID=343497</t>
  </si>
  <si>
    <t>https://ebookcentral.proquest.com/lib/kyungpook/detail.action?docID=347170</t>
  </si>
  <si>
    <t>https://ebookcentral.proquest.com/lib/kyungpook/detail.action?docID=347204</t>
  </si>
  <si>
    <t>https://ebookcentral.proquest.com/lib/kyungpook/detail.action?docID=350889</t>
  </si>
  <si>
    <t>https://ebookcentral.proquest.com/lib/kyungpook/detail.action?docID=352967</t>
  </si>
  <si>
    <t>https://ebookcentral.proquest.com/lib/kyungpook/detail.action?docID=355433</t>
  </si>
  <si>
    <t>https://ebookcentral.proquest.com/lib/kyungpook/detail.action?docID=355435</t>
  </si>
  <si>
    <t>https://ebookcentral.proquest.com/lib/kyungpook/detail.action?docID=358848</t>
  </si>
  <si>
    <t>https://ebookcentral.proquest.com/lib/kyungpook/detail.action?docID=358855</t>
  </si>
  <si>
    <t>https://ebookcentral.proquest.com/lib/kyungpook/detail.action?docID=358856</t>
  </si>
  <si>
    <t>https://ebookcentral.proquest.com/lib/kyungpook/detail.action?docID=358859</t>
  </si>
  <si>
    <t>https://ebookcentral.proquest.com/lib/kyungpook/detail.action?docID=358860</t>
  </si>
  <si>
    <t>https://ebookcentral.proquest.com/lib/kyungpook/detail.action?docID=358861</t>
  </si>
  <si>
    <t>https://ebookcentral.proquest.com/lib/kyungpook/detail.action?docID=358863</t>
  </si>
  <si>
    <t>https://ebookcentral.proquest.com/lib/kyungpook/detail.action?docID=359371</t>
  </si>
  <si>
    <t>https://ebookcentral.proquest.com/lib/kyungpook/detail.action?docID=361918</t>
  </si>
  <si>
    <t>https://ebookcentral.proquest.com/lib/kyungpook/detail.action?docID=362155</t>
  </si>
  <si>
    <t>https://ebookcentral.proquest.com/lib/kyungpook/detail.action?docID=367053</t>
  </si>
  <si>
    <t>https://ebookcentral.proquest.com/lib/kyungpook/detail.action?docID=410136</t>
  </si>
  <si>
    <t>https://ebookcentral.proquest.com/lib/kyungpook/detail.action?docID=410173</t>
  </si>
  <si>
    <t>https://ebookcentral.proquest.com/lib/kyungpook/detail.action?docID=412741</t>
  </si>
  <si>
    <t>https://ebookcentral.proquest.com/lib/kyungpook/detail.action?docID=412801</t>
  </si>
  <si>
    <t>https://ebookcentral.proquest.com/lib/kyungpook/detail.action?docID=412806</t>
  </si>
  <si>
    <t>https://ebookcentral.proquest.com/lib/kyungpook/detail.action?docID=416345</t>
  </si>
  <si>
    <t>https://ebookcentral.proquest.com/lib/kyungpook/detail.action?docID=416514</t>
  </si>
  <si>
    <t>https://ebookcentral.proquest.com/lib/kyungpook/detail.action?docID=416539</t>
  </si>
  <si>
    <t>https://ebookcentral.proquest.com/lib/kyungpook/detail.action?docID=424560</t>
  </si>
  <si>
    <t>https://ebookcentral.proquest.com/lib/kyungpook/detail.action?docID=424562</t>
  </si>
  <si>
    <t>https://ebookcentral.proquest.com/lib/kyungpook/detail.action?docID=424597</t>
  </si>
  <si>
    <t>https://ebookcentral.proquest.com/lib/kyungpook/detail.action?docID=424602</t>
  </si>
  <si>
    <t>https://ebookcentral.proquest.com/lib/kyungpook/detail.action?docID=424605</t>
  </si>
  <si>
    <t>https://ebookcentral.proquest.com/lib/kyungpook/detail.action?docID=427674</t>
  </si>
  <si>
    <t>https://ebookcentral.proquest.com/lib/kyungpook/detail.action?docID=427885</t>
  </si>
  <si>
    <t>https://ebookcentral.proquest.com/lib/kyungpook/detail.action?docID=428019</t>
  </si>
  <si>
    <t>https://ebookcentral.proquest.com/lib/kyungpook/detail.action?docID=428123</t>
  </si>
  <si>
    <t>https://ebookcentral.proquest.com/lib/kyungpook/detail.action?docID=428164</t>
  </si>
  <si>
    <t>https://ebookcentral.proquest.com/lib/kyungpook/detail.action?docID=432010</t>
  </si>
  <si>
    <t>https://ebookcentral.proquest.com/lib/kyungpook/detail.action?docID=432031</t>
  </si>
  <si>
    <t>https://ebookcentral.proquest.com/lib/kyungpook/detail.action?docID=432062</t>
  </si>
  <si>
    <t>https://ebookcentral.proquest.com/lib/kyungpook/detail.action?docID=433023</t>
  </si>
  <si>
    <t>https://ebookcentral.proquest.com/lib/kyungpook/detail.action?docID=433814</t>
  </si>
  <si>
    <t>https://ebookcentral.proquest.com/lib/kyungpook/detail.action?docID=433825</t>
  </si>
  <si>
    <t>https://ebookcentral.proquest.com/lib/kyungpook/detail.action?docID=435138</t>
  </si>
  <si>
    <t>https://ebookcentral.proquest.com/lib/kyungpook/detail.action?docID=437482</t>
  </si>
  <si>
    <t>https://ebookcentral.proquest.com/lib/kyungpook/detail.action?docID=437521</t>
  </si>
  <si>
    <t>https://ebookcentral.proquest.com/lib/kyungpook/detail.action?docID=437527</t>
  </si>
  <si>
    <t>https://ebookcentral.proquest.com/lib/kyungpook/detail.action?docID=442890</t>
  </si>
  <si>
    <t>https://ebookcentral.proquest.com/lib/kyungpook/detail.action?docID=448457</t>
  </si>
  <si>
    <t>https://ebookcentral.proquest.com/lib/kyungpook/detail.action?docID=448877</t>
  </si>
  <si>
    <t>https://ebookcentral.proquest.com/lib/kyungpook/detail.action?docID=448906</t>
  </si>
  <si>
    <t>https://ebookcentral.proquest.com/lib/kyungpook/detail.action?docID=448938</t>
  </si>
  <si>
    <t>https://ebookcentral.proquest.com/lib/kyungpook/detail.action?docID=451903</t>
  </si>
  <si>
    <t>https://ebookcentral.proquest.com/lib/kyungpook/detail.action?docID=451924</t>
  </si>
  <si>
    <t>https://ebookcentral.proquest.com/lib/kyungpook/detail.action?docID=451939</t>
  </si>
  <si>
    <t>https://ebookcentral.proquest.com/lib/kyungpook/detail.action?docID=454326</t>
  </si>
  <si>
    <t>https://ebookcentral.proquest.com/lib/kyungpook/detail.action?docID=454334</t>
  </si>
  <si>
    <t>https://ebookcentral.proquest.com/lib/kyungpook/detail.action?docID=454389</t>
  </si>
  <si>
    <t>https://ebookcentral.proquest.com/lib/kyungpook/detail.action?docID=455881</t>
  </si>
  <si>
    <t>https://ebookcentral.proquest.com/lib/kyungpook/detail.action?docID=456050</t>
  </si>
  <si>
    <t>https://ebookcentral.proquest.com/lib/kyungpook/detail.action?docID=461152</t>
  </si>
  <si>
    <t>https://ebookcentral.proquest.com/lib/kyungpook/detail.action?docID=464854</t>
  </si>
  <si>
    <t>https://ebookcentral.proquest.com/lib/kyungpook/detail.action?docID=464857</t>
  </si>
  <si>
    <t>https://ebookcentral.proquest.com/lib/kyungpook/detail.action?docID=464894</t>
  </si>
  <si>
    <t>https://ebookcentral.proquest.com/lib/kyungpook/detail.action?docID=464897</t>
  </si>
  <si>
    <t>https://ebookcentral.proquest.com/lib/kyungpook/detail.action?docID=465086</t>
  </si>
  <si>
    <t>https://ebookcentral.proquest.com/lib/kyungpook/detail.action?docID=467559</t>
  </si>
  <si>
    <t>https://ebookcentral.proquest.com/lib/kyungpook/detail.action?docID=467612</t>
  </si>
  <si>
    <t>https://ebookcentral.proquest.com/lib/kyungpook/detail.action?docID=467675</t>
  </si>
  <si>
    <t>https://ebookcentral.proquest.com/lib/kyungpook/detail.action?docID=467882</t>
  </si>
  <si>
    <t>https://ebookcentral.proquest.com/lib/kyungpook/detail.action?docID=468490</t>
  </si>
  <si>
    <t>https://ebookcentral.proquest.com/lib/kyungpook/detail.action?docID=468608</t>
  </si>
  <si>
    <t>https://ebookcentral.proquest.com/lib/kyungpook/detail.action?docID=468768</t>
  </si>
  <si>
    <t>https://ebookcentral.proquest.com/lib/kyungpook/detail.action?docID=469266</t>
  </si>
  <si>
    <t>https://ebookcentral.proquest.com/lib/kyungpook/detail.action?docID=469605</t>
  </si>
  <si>
    <t>https://ebookcentral.proquest.com/lib/kyungpook/detail.action?docID=470111</t>
  </si>
  <si>
    <t>https://ebookcentral.proquest.com/lib/kyungpook/detail.action?docID=470171</t>
  </si>
  <si>
    <t>https://ebookcentral.proquest.com/lib/kyungpook/detail.action?docID=470451</t>
  </si>
  <si>
    <t>https://ebookcentral.proquest.com/lib/kyungpook/detail.action?docID=471786</t>
  </si>
  <si>
    <t>https://ebookcentral.proquest.com/lib/kyungpook/detail.action?docID=471976</t>
  </si>
  <si>
    <t>https://ebookcentral.proquest.com/lib/kyungpook/detail.action?docID=471981</t>
  </si>
  <si>
    <t>https://ebookcentral.proquest.com/lib/kyungpook/detail.action?docID=474853</t>
  </si>
  <si>
    <t>https://ebookcentral.proquest.com/lib/kyungpook/detail.action?docID=477852</t>
  </si>
  <si>
    <t>https://ebookcentral.proquest.com/lib/kyungpook/detail.action?docID=477882</t>
  </si>
  <si>
    <t>https://ebookcentral.proquest.com/lib/kyungpook/detail.action?docID=480377</t>
  </si>
  <si>
    <t>https://ebookcentral.proquest.com/lib/kyungpook/detail.action?docID=480428</t>
  </si>
  <si>
    <t>https://ebookcentral.proquest.com/lib/kyungpook/detail.action?docID=480446</t>
  </si>
  <si>
    <t>https://ebookcentral.proquest.com/lib/kyungpook/detail.action?docID=480452</t>
  </si>
  <si>
    <t>https://ebookcentral.proquest.com/lib/kyungpook/detail.action?docID=480455</t>
  </si>
  <si>
    <t>https://ebookcentral.proquest.com/lib/kyungpook/detail.action?docID=480460</t>
  </si>
  <si>
    <t>https://ebookcentral.proquest.com/lib/kyungpook/detail.action?docID=480482</t>
  </si>
  <si>
    <t>https://ebookcentral.proquest.com/lib/kyungpook/detail.action?docID=483306</t>
  </si>
  <si>
    <t>https://ebookcentral.proquest.com/lib/kyungpook/detail.action?docID=485195</t>
  </si>
  <si>
    <t>https://ebookcentral.proquest.com/lib/kyungpook/detail.action?docID=485290</t>
  </si>
  <si>
    <t>https://ebookcentral.proquest.com/lib/kyungpook/detail.action?docID=485668</t>
  </si>
  <si>
    <t>https://ebookcentral.proquest.com/lib/kyungpook/detail.action?docID=485674</t>
  </si>
  <si>
    <t>https://ebookcentral.proquest.com/lib/kyungpook/detail.action?docID=487665</t>
  </si>
  <si>
    <t>https://ebookcentral.proquest.com/lib/kyungpook/detail.action?docID=487727</t>
  </si>
  <si>
    <t>https://ebookcentral.proquest.com/lib/kyungpook/detail.action?docID=487736</t>
  </si>
  <si>
    <t>https://ebookcentral.proquest.com/lib/kyungpook/detail.action?docID=487738</t>
  </si>
  <si>
    <t>https://ebookcentral.proquest.com/lib/kyungpook/detail.action?docID=487740</t>
  </si>
  <si>
    <t>https://ebookcentral.proquest.com/lib/kyungpook/detail.action?docID=492612</t>
  </si>
  <si>
    <t>https://ebookcentral.proquest.com/lib/kyungpook/detail.action?docID=492613</t>
  </si>
  <si>
    <t>https://ebookcentral.proquest.com/lib/kyungpook/detail.action?docID=495971</t>
  </si>
  <si>
    <t>https://ebookcentral.proquest.com/lib/kyungpook/detail.action?docID=496012</t>
  </si>
  <si>
    <t>https://ebookcentral.proquest.com/lib/kyungpook/detail.action?docID=496057</t>
  </si>
  <si>
    <t>https://ebookcentral.proquest.com/lib/kyungpook/detail.action?docID=496064</t>
  </si>
  <si>
    <t>https://ebookcentral.proquest.com/lib/kyungpook/detail.action?docID=496079</t>
  </si>
  <si>
    <t>https://ebookcentral.proquest.com/lib/kyungpook/detail.action?docID=501313</t>
  </si>
  <si>
    <t>https://ebookcentral.proquest.com/lib/kyungpook/detail.action?docID=502458</t>
  </si>
  <si>
    <t>https://ebookcentral.proquest.com/lib/kyungpook/detail.action?docID=502493</t>
  </si>
  <si>
    <t>https://ebookcentral.proquest.com/lib/kyungpook/detail.action?docID=502533</t>
  </si>
  <si>
    <t>https://ebookcentral.proquest.com/lib/kyungpook/detail.action?docID=510243</t>
  </si>
  <si>
    <t>https://ebookcentral.proquest.com/lib/kyungpook/detail.action?docID=510248</t>
  </si>
  <si>
    <t>https://ebookcentral.proquest.com/lib/kyungpook/detail.action?docID=510251</t>
  </si>
  <si>
    <t>https://ebookcentral.proquest.com/lib/kyungpook/detail.action?docID=514326</t>
  </si>
  <si>
    <t>https://ebookcentral.proquest.com/lib/kyungpook/detail.action?docID=514382</t>
  </si>
  <si>
    <t>https://ebookcentral.proquest.com/lib/kyungpook/detail.action?docID=514449</t>
  </si>
  <si>
    <t>https://ebookcentral.proquest.com/lib/kyungpook/detail.action?docID=514458</t>
  </si>
  <si>
    <t>https://ebookcentral.proquest.com/lib/kyungpook/detail.action?docID=515872</t>
  </si>
  <si>
    <t>https://ebookcentral.proquest.com/lib/kyungpook/detail.action?docID=516946</t>
  </si>
  <si>
    <t>https://ebookcentral.proquest.com/lib/kyungpook/detail.action?docID=516965</t>
  </si>
  <si>
    <t>https://ebookcentral.proquest.com/lib/kyungpook/detail.action?docID=529946</t>
  </si>
  <si>
    <t>https://ebookcentral.proquest.com/lib/kyungpook/detail.action?docID=529959</t>
  </si>
  <si>
    <t>https://ebookcentral.proquest.com/lib/kyungpook/detail.action?docID=530074</t>
  </si>
  <si>
    <t>https://ebookcentral.proquest.com/lib/kyungpook/detail.action?docID=533954</t>
  </si>
  <si>
    <t>https://ebookcentral.proquest.com/lib/kyungpook/detail.action?docID=534716</t>
  </si>
  <si>
    <t>https://ebookcentral.proquest.com/lib/kyungpook/detail.action?docID=534750</t>
  </si>
  <si>
    <t>https://ebookcentral.proquest.com/lib/kyungpook/detail.action?docID=534756</t>
  </si>
  <si>
    <t>https://ebookcentral.proquest.com/lib/kyungpook/detail.action?docID=535445</t>
  </si>
  <si>
    <t>https://ebookcentral.proquest.com/lib/kyungpook/detail.action?docID=537279</t>
  </si>
  <si>
    <t>https://ebookcentral.proquest.com/lib/kyungpook/detail.action?docID=537566</t>
  </si>
  <si>
    <t>https://ebookcentral.proquest.com/lib/kyungpook/detail.action?docID=540083</t>
  </si>
  <si>
    <t>https://ebookcentral.proquest.com/lib/kyungpook/detail.action?docID=542759</t>
  </si>
  <si>
    <t>https://ebookcentral.proquest.com/lib/kyungpook/detail.action?docID=542826</t>
  </si>
  <si>
    <t>https://ebookcentral.proquest.com/lib/kyungpook/detail.action?docID=542863</t>
  </si>
  <si>
    <t>https://ebookcentral.proquest.com/lib/kyungpook/detail.action?docID=542870</t>
  </si>
  <si>
    <t>https://ebookcentral.proquest.com/lib/kyungpook/detail.action?docID=543027</t>
  </si>
  <si>
    <t>https://ebookcentral.proquest.com/lib/kyungpook/detail.action?docID=543029</t>
  </si>
  <si>
    <t>https://ebookcentral.proquest.com/lib/kyungpook/detail.action?docID=547047</t>
  </si>
  <si>
    <t>https://ebookcentral.proquest.com/lib/kyungpook/detail.action?docID=554978</t>
  </si>
  <si>
    <t>https://ebookcentral.proquest.com/lib/kyungpook/detail.action?docID=555320</t>
  </si>
  <si>
    <t>https://ebookcentral.proquest.com/lib/kyungpook/detail.action?docID=555546</t>
  </si>
  <si>
    <t>https://ebookcentral.proquest.com/lib/kyungpook/detail.action?docID=557015</t>
  </si>
  <si>
    <t>https://ebookcentral.proquest.com/lib/kyungpook/detail.action?docID=564462</t>
  </si>
  <si>
    <t>https://ebookcentral.proquest.com/lib/kyungpook/detail.action?docID=564466</t>
  </si>
  <si>
    <t>https://ebookcentral.proquest.com/lib/kyungpook/detail.action?docID=564967</t>
  </si>
  <si>
    <t>https://ebookcentral.proquest.com/lib/kyungpook/detail.action?docID=564968</t>
  </si>
  <si>
    <t>https://ebookcentral.proquest.com/lib/kyungpook/detail.action?docID=565143</t>
  </si>
  <si>
    <t>https://ebookcentral.proquest.com/lib/kyungpook/detail.action?docID=565364</t>
  </si>
  <si>
    <t>https://ebookcentral.proquest.com/lib/kyungpook/detail.action?docID=570418</t>
  </si>
  <si>
    <t>https://ebookcentral.proquest.com/lib/kyungpook/detail.action?docID=578795</t>
  </si>
  <si>
    <t>https://ebookcentral.proquest.com/lib/kyungpook/detail.action?docID=585321</t>
  </si>
  <si>
    <t>https://ebookcentral.proquest.com/lib/kyungpook/detail.action?docID=585347</t>
  </si>
  <si>
    <t>https://ebookcentral.proquest.com/lib/kyungpook/detail.action?docID=585367</t>
  </si>
  <si>
    <t>https://ebookcentral.proquest.com/lib/kyungpook/detail.action?docID=585372</t>
  </si>
  <si>
    <t>https://ebookcentral.proquest.com/lib/kyungpook/detail.action?docID=585375</t>
  </si>
  <si>
    <t>https://ebookcentral.proquest.com/lib/kyungpook/detail.action?docID=585387</t>
  </si>
  <si>
    <t>https://ebookcentral.proquest.com/lib/kyungpook/detail.action?docID=588895</t>
  </si>
  <si>
    <t>https://ebookcentral.proquest.com/lib/kyungpook/detail.action?docID=602186</t>
  </si>
  <si>
    <t>https://ebookcentral.proquest.com/lib/kyungpook/detail.action?docID=605009</t>
  </si>
  <si>
    <t>https://ebookcentral.proquest.com/lib/kyungpook/detail.action?docID=605025</t>
  </si>
  <si>
    <t>https://ebookcentral.proquest.com/lib/kyungpook/detail.action?docID=605051</t>
  </si>
  <si>
    <t>https://ebookcentral.proquest.com/lib/kyungpook/detail.action?docID=605059</t>
  </si>
  <si>
    <t>https://ebookcentral.proquest.com/lib/kyungpook/detail.action?docID=605339</t>
  </si>
  <si>
    <t>https://ebookcentral.proquest.com/lib/kyungpook/detail.action?docID=605886</t>
  </si>
  <si>
    <t>https://ebookcentral.proquest.com/lib/kyungpook/detail.action?docID=615761</t>
  </si>
  <si>
    <t>https://ebookcentral.proquest.com/lib/kyungpook/detail.action?docID=615764</t>
  </si>
  <si>
    <t>https://ebookcentral.proquest.com/lib/kyungpook/detail.action?docID=624285</t>
  </si>
  <si>
    <t>https://ebookcentral.proquest.com/lib/kyungpook/detail.action?docID=624292</t>
  </si>
  <si>
    <t>https://ebookcentral.proquest.com/lib/kyungpook/detail.action?docID=624304</t>
  </si>
  <si>
    <t>https://ebookcentral.proquest.com/lib/kyungpook/detail.action?docID=624305</t>
  </si>
  <si>
    <t>https://ebookcentral.proquest.com/lib/kyungpook/detail.action?docID=624617</t>
  </si>
  <si>
    <t>https://ebookcentral.proquest.com/lib/kyungpook/detail.action?docID=624647</t>
  </si>
  <si>
    <t>https://ebookcentral.proquest.com/lib/kyungpook/detail.action?docID=624726</t>
  </si>
  <si>
    <t>https://ebookcentral.proquest.com/lib/kyungpook/detail.action?docID=624730</t>
  </si>
  <si>
    <t>https://ebookcentral.proquest.com/lib/kyungpook/detail.action?docID=624771</t>
  </si>
  <si>
    <t>https://ebookcentral.proquest.com/lib/kyungpook/detail.action?docID=631537</t>
  </si>
  <si>
    <t>https://ebookcentral.proquest.com/lib/kyungpook/detail.action?docID=634602</t>
  </si>
  <si>
    <t>https://ebookcentral.proquest.com/lib/kyungpook/detail.action?docID=634607</t>
  </si>
  <si>
    <t>https://ebookcentral.proquest.com/lib/kyungpook/detail.action?docID=635132</t>
  </si>
  <si>
    <t>https://ebookcentral.proquest.com/lib/kyungpook/detail.action?docID=644974</t>
  </si>
  <si>
    <t>https://ebookcentral.proquest.com/lib/kyungpook/detail.action?docID=644988</t>
  </si>
  <si>
    <t>https://ebookcentral.proquest.com/lib/kyungpook/detail.action?docID=647399</t>
  </si>
  <si>
    <t>https://ebookcentral.proquest.com/lib/kyungpook/detail.action?docID=661481</t>
  </si>
  <si>
    <t>https://ebookcentral.proquest.com/lib/kyungpook/detail.action?docID=661568</t>
  </si>
  <si>
    <t>https://ebookcentral.proquest.com/lib/kyungpook/detail.action?docID=661610</t>
  </si>
  <si>
    <t>https://ebookcentral.proquest.com/lib/kyungpook/detail.action?docID=661758</t>
  </si>
  <si>
    <t>https://ebookcentral.proquest.com/lib/kyungpook/detail.action?docID=661767</t>
  </si>
  <si>
    <t>https://ebookcentral.proquest.com/lib/kyungpook/detail.action?docID=661774</t>
  </si>
  <si>
    <t>https://ebookcentral.proquest.com/lib/kyungpook/detail.action?docID=665222</t>
  </si>
  <si>
    <t>https://ebookcentral.proquest.com/lib/kyungpook/detail.action?docID=665230</t>
  </si>
  <si>
    <t>https://ebookcentral.proquest.com/lib/kyungpook/detail.action?docID=665243</t>
  </si>
  <si>
    <t>https://ebookcentral.proquest.com/lib/kyungpook/detail.action?docID=665412</t>
  </si>
  <si>
    <t>https://ebookcentral.proquest.com/lib/kyungpook/detail.action?docID=665444</t>
  </si>
  <si>
    <t>https://ebookcentral.proquest.com/lib/kyungpook/detail.action?docID=667634</t>
  </si>
  <si>
    <t>https://ebookcentral.proquest.com/lib/kyungpook/detail.action?docID=675171</t>
  </si>
  <si>
    <t>https://ebookcentral.proquest.com/lib/kyungpook/detail.action?docID=675172</t>
  </si>
  <si>
    <t>https://ebookcentral.proquest.com/lib/kyungpook/detail.action?docID=675178</t>
  </si>
  <si>
    <t>https://ebookcentral.proquest.com/lib/kyungpook/detail.action?docID=675180</t>
  </si>
  <si>
    <t>https://ebookcentral.proquest.com/lib/kyungpook/detail.action?docID=675202</t>
  </si>
  <si>
    <t>https://ebookcentral.proquest.com/lib/kyungpook/detail.action?docID=675233</t>
  </si>
  <si>
    <t>https://ebookcentral.proquest.com/lib/kyungpook/detail.action?docID=675245</t>
  </si>
  <si>
    <t>https://ebookcentral.proquest.com/lib/kyungpook/detail.action?docID=677214</t>
  </si>
  <si>
    <t>https://ebookcentral.proquest.com/lib/kyungpook/detail.action?docID=679300</t>
  </si>
  <si>
    <t>https://ebookcentral.proquest.com/lib/kyungpook/detail.action?docID=679420</t>
  </si>
  <si>
    <t>https://ebookcentral.proquest.com/lib/kyungpook/detail.action?docID=684624</t>
  </si>
  <si>
    <t>https://ebookcentral.proquest.com/lib/kyungpook/detail.action?docID=687000</t>
  </si>
  <si>
    <t>https://ebookcentral.proquest.com/lib/kyungpook/detail.action?docID=687001</t>
  </si>
  <si>
    <t>https://ebookcentral.proquest.com/lib/kyungpook/detail.action?docID=687003</t>
  </si>
  <si>
    <t>https://ebookcentral.proquest.com/lib/kyungpook/detail.action?docID=687014</t>
  </si>
  <si>
    <t>https://ebookcentral.proquest.com/lib/kyungpook/detail.action?docID=687016</t>
  </si>
  <si>
    <t>https://ebookcentral.proquest.com/lib/kyungpook/detail.action?docID=689304</t>
  </si>
  <si>
    <t>https://ebookcentral.proquest.com/lib/kyungpook/detail.action?docID=689482</t>
  </si>
  <si>
    <t>https://ebookcentral.proquest.com/lib/kyungpook/detail.action?docID=693784</t>
  </si>
  <si>
    <t>https://ebookcentral.proquest.com/lib/kyungpook/detail.action?docID=693970</t>
  </si>
  <si>
    <t>https://ebookcentral.proquest.com/lib/kyungpook/detail.action?docID=697575</t>
  </si>
  <si>
    <t>https://ebookcentral.proquest.com/lib/kyungpook/detail.action?docID=697593</t>
  </si>
  <si>
    <t>https://ebookcentral.proquest.com/lib/kyungpook/detail.action?docID=697761</t>
  </si>
  <si>
    <t>https://ebookcentral.proquest.com/lib/kyungpook/detail.action?docID=697896</t>
  </si>
  <si>
    <t>https://ebookcentral.proquest.com/lib/kyungpook/detail.action?docID=700583</t>
  </si>
  <si>
    <t>https://ebookcentral.proquest.com/lib/kyungpook/detail.action?docID=700624</t>
  </si>
  <si>
    <t>https://ebookcentral.proquest.com/lib/kyungpook/detail.action?docID=706571</t>
  </si>
  <si>
    <t>https://ebookcentral.proquest.com/lib/kyungpook/detail.action?docID=706652</t>
  </si>
  <si>
    <t>https://ebookcentral.proquest.com/lib/kyungpook/detail.action?docID=712125</t>
  </si>
  <si>
    <t>https://ebookcentral.proquest.com/lib/kyungpook/detail.action?docID=716703</t>
  </si>
  <si>
    <t>https://ebookcentral.proquest.com/lib/kyungpook/detail.action?docID=717457</t>
  </si>
  <si>
    <t>https://ebookcentral.proquest.com/lib/kyungpook/detail.action?docID=717927</t>
  </si>
  <si>
    <t>https://ebookcentral.proquest.com/lib/kyungpook/detail.action?docID=717937</t>
  </si>
  <si>
    <t>https://ebookcentral.proquest.com/lib/kyungpook/detail.action?docID=728730</t>
  </si>
  <si>
    <t>https://ebookcentral.proquest.com/lib/kyungpook/detail.action?docID=728731</t>
  </si>
  <si>
    <t>https://ebookcentral.proquest.com/lib/kyungpook/detail.action?docID=728761</t>
  </si>
  <si>
    <t>https://ebookcentral.proquest.com/lib/kyungpook/detail.action?docID=731202</t>
  </si>
  <si>
    <t>https://ebookcentral.proquest.com/lib/kyungpook/detail.action?docID=735599</t>
  </si>
  <si>
    <t>https://ebookcentral.proquest.com/lib/kyungpook/detail.action?docID=737309</t>
  </si>
  <si>
    <t>https://ebookcentral.proquest.com/lib/kyungpook/detail.action?docID=737472</t>
  </si>
  <si>
    <t>https://ebookcentral.proquest.com/lib/kyungpook/detail.action?docID=746668</t>
  </si>
  <si>
    <t>https://ebookcentral.proquest.com/lib/kyungpook/detail.action?docID=746747</t>
  </si>
  <si>
    <t>https://ebookcentral.proquest.com/lib/kyungpook/detail.action?docID=765158</t>
  </si>
  <si>
    <t>https://ebookcentral.proquest.com/lib/kyungpook/detail.action?docID=765169</t>
  </si>
  <si>
    <t>https://ebookcentral.proquest.com/lib/kyungpook/detail.action?docID=773282</t>
  </si>
  <si>
    <t>https://ebookcentral.proquest.com/lib/kyungpook/detail.action?docID=775972</t>
  </si>
  <si>
    <t>https://ebookcentral.proquest.com/lib/kyungpook/detail.action?docID=784713</t>
  </si>
  <si>
    <t>https://ebookcentral.proquest.com/lib/kyungpook/detail.action?docID=792464</t>
  </si>
  <si>
    <t>https://ebookcentral.proquest.com/lib/kyungpook/detail.action?docID=792629</t>
  </si>
  <si>
    <t>https://ebookcentral.proquest.com/lib/kyungpook/detail.action?docID=792638</t>
  </si>
  <si>
    <t>https://ebookcentral.proquest.com/lib/kyungpook/detail.action?docID=793721</t>
  </si>
  <si>
    <t>https://ebookcentral.proquest.com/lib/kyungpook/detail.action?docID=795225</t>
  </si>
  <si>
    <t>https://ebookcentral.proquest.com/lib/kyungpook/detail.action?docID=798363</t>
  </si>
  <si>
    <t>https://ebookcentral.proquest.com/lib/kyungpook/detail.action?docID=799955</t>
  </si>
  <si>
    <t>https://ebookcentral.proquest.com/lib/kyungpook/detail.action?docID=800716</t>
  </si>
  <si>
    <t>https://ebookcentral.proquest.com/lib/kyungpook/detail.action?docID=800824</t>
  </si>
  <si>
    <t>https://ebookcentral.proquest.com/lib/kyungpook/detail.action?docID=800833</t>
  </si>
  <si>
    <t>https://ebookcentral.proquest.com/lib/kyungpook/detail.action?docID=817324</t>
  </si>
  <si>
    <t>https://ebookcentral.proquest.com/lib/kyungpook/detail.action?docID=817357</t>
  </si>
  <si>
    <t>https://ebookcentral.proquest.com/lib/kyungpook/detail.action?docID=817585</t>
  </si>
  <si>
    <t>https://ebookcentral.proquest.com/lib/kyungpook/detail.action?docID=817586</t>
  </si>
  <si>
    <t>https://ebookcentral.proquest.com/lib/kyungpook/detail.action?docID=817721</t>
  </si>
  <si>
    <t>https://ebookcentral.proquest.com/lib/kyungpook/detail.action?docID=817869</t>
  </si>
  <si>
    <t>https://ebookcentral.proquest.com/lib/kyungpook/detail.action?docID=819283</t>
  </si>
  <si>
    <t>https://ebookcentral.proquest.com/lib/kyungpook/detail.action?docID=819341</t>
  </si>
  <si>
    <t>https://ebookcentral.proquest.com/lib/kyungpook/detail.action?docID=819353</t>
  </si>
  <si>
    <t>https://ebookcentral.proquest.com/lib/kyungpook/detail.action?docID=819360</t>
  </si>
  <si>
    <t>https://ebookcentral.proquest.com/lib/kyungpook/detail.action?docID=819361</t>
  </si>
  <si>
    <t>https://ebookcentral.proquest.com/lib/kyungpook/detail.action?docID=819370</t>
  </si>
  <si>
    <t>https://ebookcentral.proquest.com/lib/kyungpook/detail.action?docID=819371</t>
  </si>
  <si>
    <t>https://ebookcentral.proquest.com/lib/kyungpook/detail.action?docID=819372</t>
  </si>
  <si>
    <t>https://ebookcentral.proquest.com/lib/kyungpook/detail.action?docID=819387</t>
  </si>
  <si>
    <t>https://ebookcentral.proquest.com/lib/kyungpook/detail.action?docID=819470</t>
  </si>
  <si>
    <t>https://ebookcentral.proquest.com/lib/kyungpook/detail.action?docID=819471</t>
  </si>
  <si>
    <t>https://ebookcentral.proquest.com/lib/kyungpook/detail.action?docID=819472</t>
  </si>
  <si>
    <t>https://ebookcentral.proquest.com/lib/kyungpook/detail.action?docID=819473</t>
  </si>
  <si>
    <t>https://ebookcentral.proquest.com/lib/kyungpook/detail.action?docID=821673</t>
  </si>
  <si>
    <t>https://ebookcentral.proquest.com/lib/kyungpook/detail.action?docID=821807</t>
  </si>
  <si>
    <t>https://ebookcentral.proquest.com/lib/kyungpook/detail.action?docID=822419</t>
  </si>
  <si>
    <t>https://ebookcentral.proquest.com/lib/kyungpook/detail.action?docID=822485</t>
  </si>
  <si>
    <t>https://ebookcentral.proquest.com/lib/kyungpook/detail.action?docID=822649</t>
  </si>
  <si>
    <t>https://ebookcentral.proquest.com/lib/kyungpook/detail.action?docID=822656</t>
  </si>
  <si>
    <t>https://ebookcentral.proquest.com/lib/kyungpook/detail.action?docID=822663</t>
  </si>
  <si>
    <t>https://ebookcentral.proquest.com/lib/kyungpook/detail.action?docID=829377</t>
  </si>
  <si>
    <t>https://ebookcentral.proquest.com/lib/kyungpook/detail.action?docID=829381</t>
  </si>
  <si>
    <t>https://ebookcentral.proquest.com/lib/kyungpook/detail.action?docID=829477</t>
  </si>
  <si>
    <t>https://ebookcentral.proquest.com/lib/kyungpook/detail.action?docID=832569</t>
  </si>
  <si>
    <t>https://ebookcentral.proquest.com/lib/kyungpook/detail.action?docID=832595</t>
  </si>
  <si>
    <t>https://ebookcentral.proquest.com/lib/kyungpook/detail.action?docID=837605</t>
  </si>
  <si>
    <t>https://ebookcentral.proquest.com/lib/kyungpook/detail.action?docID=845932</t>
  </si>
  <si>
    <t>https://ebookcentral.proquest.com/lib/kyungpook/detail.action?docID=845958</t>
  </si>
  <si>
    <t>https://ebookcentral.proquest.com/lib/kyungpook/detail.action?docID=845959</t>
  </si>
  <si>
    <t>https://ebookcentral.proquest.com/lib/kyungpook/detail.action?docID=846152</t>
  </si>
  <si>
    <t>https://ebookcentral.proquest.com/lib/kyungpook/detail.action?docID=846153</t>
  </si>
  <si>
    <t>https://ebookcentral.proquest.com/lib/kyungpook/detail.action?docID=849023</t>
  </si>
  <si>
    <t>https://ebookcentral.proquest.com/lib/kyungpook/detail.action?docID=865482</t>
  </si>
  <si>
    <t>https://ebookcentral.proquest.com/lib/kyungpook/detail.action?docID=865547</t>
  </si>
  <si>
    <t>https://ebookcentral.proquest.com/lib/kyungpook/detail.action?docID=865912</t>
  </si>
  <si>
    <t>https://ebookcentral.proquest.com/lib/kyungpook/detail.action?docID=873315</t>
  </si>
  <si>
    <t>https://ebookcentral.proquest.com/lib/kyungpook/detail.action?docID=875733</t>
  </si>
  <si>
    <t>https://ebookcentral.proquest.com/lib/kyungpook/detail.action?docID=875781</t>
  </si>
  <si>
    <t>https://ebookcentral.proquest.com/lib/kyungpook/detail.action?docID=875783</t>
  </si>
  <si>
    <t>https://ebookcentral.proquest.com/lib/kyungpook/detail.action?docID=875809</t>
  </si>
  <si>
    <t>https://ebookcentral.proquest.com/lib/kyungpook/detail.action?docID=881882</t>
  </si>
  <si>
    <t>https://ebookcentral.proquest.com/lib/kyungpook/detail.action?docID=886456</t>
  </si>
  <si>
    <t>https://ebookcentral.proquest.com/lib/kyungpook/detail.action?docID=886462</t>
  </si>
  <si>
    <t>https://ebookcentral.proquest.com/lib/kyungpook/detail.action?docID=886532</t>
  </si>
  <si>
    <t>https://ebookcentral.proquest.com/lib/kyungpook/detail.action?docID=886540</t>
  </si>
  <si>
    <t>https://ebookcentral.proquest.com/lib/kyungpook/detail.action?docID=886568</t>
  </si>
  <si>
    <t>https://ebookcentral.proquest.com/lib/kyungpook/detail.action?docID=886569</t>
  </si>
  <si>
    <t>https://ebookcentral.proquest.com/lib/kyungpook/detail.action?docID=891222</t>
  </si>
  <si>
    <t>https://ebookcentral.proquest.com/lib/kyungpook/detail.action?docID=893076</t>
  </si>
  <si>
    <t>https://ebookcentral.proquest.com/lib/kyungpook/detail.action?docID=894270</t>
  </si>
  <si>
    <t>https://ebookcentral.proquest.com/lib/kyungpook/detail.action?docID=894289</t>
  </si>
  <si>
    <t>https://ebookcentral.proquest.com/lib/kyungpook/detail.action?docID=896984</t>
  </si>
  <si>
    <t>https://ebookcentral.proquest.com/lib/kyungpook/detail.action?docID=902587</t>
  </si>
  <si>
    <t>https://ebookcentral.proquest.com/lib/kyungpook/detail.action?docID=909001</t>
  </si>
  <si>
    <t>https://ebookcentral.proquest.com/lib/kyungpook/detail.action?docID=912189</t>
  </si>
  <si>
    <t>https://ebookcentral.proquest.com/lib/kyungpook/detail.action?docID=914752</t>
  </si>
  <si>
    <t>https://ebookcentral.proquest.com/lib/kyungpook/detail.action?docID=918172</t>
  </si>
  <si>
    <t>https://ebookcentral.proquest.com/lib/kyungpook/detail.action?docID=918174</t>
  </si>
  <si>
    <t>https://ebookcentral.proquest.com/lib/kyungpook/detail.action?docID=918180</t>
  </si>
  <si>
    <t>https://ebookcentral.proquest.com/lib/kyungpook/detail.action?docID=919560</t>
  </si>
  <si>
    <t>https://ebookcentral.proquest.com/lib/kyungpook/detail.action?docID=928857</t>
  </si>
  <si>
    <t>https://ebookcentral.proquest.com/lib/kyungpook/detail.action?docID=943380</t>
  </si>
  <si>
    <t>https://ebookcentral.proquest.com/lib/kyungpook/detail.action?docID=943941</t>
  </si>
  <si>
    <t>https://ebookcentral.proquest.com/lib/kyungpook/detail.action?docID=943954</t>
  </si>
  <si>
    <t>https://ebookcentral.proquest.com/lib/kyungpook/detail.action?docID=945587</t>
  </si>
  <si>
    <t>https://ebookcentral.proquest.com/lib/kyungpook/detail.action?docID=946962</t>
  </si>
  <si>
    <t>https://ebookcentral.proquest.com/lib/kyungpook/detail.action?docID=947665</t>
  </si>
  <si>
    <t>https://ebookcentral.proquest.com/lib/kyungpook/detail.action?docID=947729</t>
  </si>
  <si>
    <t>https://ebookcentral.proquest.com/lib/kyungpook/detail.action?docID=950443</t>
  </si>
  <si>
    <t>https://ebookcentral.proquest.com/lib/kyungpook/detail.action?docID=975635</t>
  </si>
  <si>
    <t>https://ebookcentral.proquest.com/lib/kyungpook/detail.action?docID=978064</t>
  </si>
  <si>
    <t>https://ebookcentral.proquest.com/lib/kyungpook/detail.action?docID=991769</t>
  </si>
  <si>
    <t>https://ebookcentral.proquest.com/lib/kyungpook/detail.action?docID=995795</t>
  </si>
  <si>
    <t>https://ebookcentral.proquest.com/lib/kyungpook/detail.action?docID=996610</t>
  </si>
  <si>
    <t>https://ebookcentral.proquest.com/lib/kyungpook/detail.action?docID=996653</t>
  </si>
  <si>
    <t>https://ebookcentral.proquest.com/lib/kyungpook/detail.action?docID=996731</t>
  </si>
  <si>
    <t>https://ebookcentral.proquest.com/lib/kyungpook/detail.action?docID=996732</t>
  </si>
  <si>
    <t>https://ebookcentral.proquest.com/lib/kyungpook/detail.action?docID=996733</t>
  </si>
  <si>
    <t>https://ebookcentral.proquest.com/lib/kyungpook/detail.action?docID=996749</t>
  </si>
  <si>
    <t>https://ebookcentral.proquest.com/lib/kyungpook/detail.action?docID=996750</t>
  </si>
  <si>
    <t>https://ebookcentral.proquest.com/lib/kyungpook/detail.action?docID=996789</t>
  </si>
  <si>
    <t>https://ebookcentral.proquest.com/lib/kyungpook/detail.action?docID=996790</t>
  </si>
  <si>
    <t>https://ebookcentral.proquest.com/lib/kyungpook/detail.action?docID=996798</t>
  </si>
  <si>
    <t>https://ebookcentral.proquest.com/lib/kyungpook/detail.action?docID=996806</t>
  </si>
  <si>
    <t>https://ebookcentral.proquest.com/lib/kyungpook/detail.action?docID=996848</t>
  </si>
  <si>
    <t>https://ebookcentral.proquest.com/lib/kyungpook/detail.action?docID=996852</t>
  </si>
  <si>
    <t>https://ebookcentral.proquest.com/lib/kyungpook/detail.action?docID=996877</t>
  </si>
  <si>
    <t>https://ebookcentral.proquest.com/lib/kyungpook/detail.action?docID=996893</t>
  </si>
  <si>
    <t>https://ebookcentral.proquest.com/lib/kyungpook/detail.action?docID=996907</t>
  </si>
  <si>
    <t>https://ebookcentral.proquest.com/lib/kyungpook/detail.action?docID=996924</t>
  </si>
  <si>
    <t>https://ebookcentral.proquest.com/lib/kyungpook/detail.action?docID=996935</t>
  </si>
  <si>
    <t>https://ebookcentral.proquest.com/lib/kyungpook/detail.action?docID=996954</t>
  </si>
  <si>
    <t>https://ebookcentral.proquest.com/lib/kyungpook/detail.action?docID=996964</t>
  </si>
  <si>
    <t>https://ebookcentral.proquest.com/lib/kyungpook/detail.action?docID=996971</t>
  </si>
  <si>
    <t>https://ebookcentral.proquest.com/lib/kyungpook/detail.action?docID=996979</t>
  </si>
  <si>
    <t>https://ebookcentral.proquest.com/lib/kyungpook/detail.action?docID=997533</t>
  </si>
  <si>
    <t>https://ebookcentral.proquest.com/lib/kyungpook/detail.action?docID=997578</t>
  </si>
  <si>
    <t>https://ebookcentral.proquest.com/lib/kyungpook/detail.action?docID=998952</t>
  </si>
  <si>
    <t>https://ebookcentral.proquest.com/lib/kyungpook/detail.action?docID=1012773</t>
  </si>
  <si>
    <t>https://ebookcentral.proquest.com/lib/kyungpook/detail.action?docID=1014234</t>
  </si>
  <si>
    <t>https://ebookcentral.proquest.com/lib/kyungpook/detail.action?docID=1015304</t>
  </si>
  <si>
    <t>https://ebookcentral.proquest.com/lib/kyungpook/detail.action?docID=1015307</t>
  </si>
  <si>
    <t>https://ebookcentral.proquest.com/lib/kyungpook/detail.action?docID=1016412</t>
  </si>
  <si>
    <t>https://ebookcentral.proquest.com/lib/kyungpook/detail.action?docID=1016415</t>
  </si>
  <si>
    <t>https://ebookcentral.proquest.com/lib/kyungpook/detail.action?docID=1017176</t>
  </si>
  <si>
    <t>https://ebookcentral.proquest.com/lib/kyungpook/detail.action?docID=1023027</t>
  </si>
  <si>
    <t>https://ebookcentral.proquest.com/lib/kyungpook/detail.action?docID=1031972</t>
  </si>
  <si>
    <t>https://ebookcentral.proquest.com/lib/kyungpook/detail.action?docID=1033794</t>
  </si>
  <si>
    <t>https://ebookcentral.proquest.com/lib/kyungpook/detail.action?docID=1033803</t>
  </si>
  <si>
    <t>https://ebookcentral.proquest.com/lib/kyungpook/detail.action?docID=1034726</t>
  </si>
  <si>
    <t>https://ebookcentral.proquest.com/lib/kyungpook/detail.action?docID=1037804</t>
  </si>
  <si>
    <t>https://ebookcentral.proquest.com/lib/kyungpook/detail.action?docID=1042419</t>
  </si>
  <si>
    <t>https://ebookcentral.proquest.com/lib/kyungpook/detail.action?docID=1042426</t>
  </si>
  <si>
    <t>https://ebookcentral.proquest.com/lib/kyungpook/detail.action?docID=1042437</t>
  </si>
  <si>
    <t>https://ebookcentral.proquest.com/lib/kyungpook/detail.action?docID=1042449</t>
  </si>
  <si>
    <t>https://ebookcentral.proquest.com/lib/kyungpook/detail.action?docID=1043124</t>
  </si>
  <si>
    <t>https://ebookcentral.proquest.com/lib/kyungpook/detail.action?docID=1057771</t>
  </si>
  <si>
    <t>https://ebookcentral.proquest.com/lib/kyungpook/detail.action?docID=1062339</t>
  </si>
  <si>
    <t>https://ebookcentral.proquest.com/lib/kyungpook/detail.action?docID=1062347</t>
  </si>
  <si>
    <t>https://ebookcentral.proquest.com/lib/kyungpook/detail.action?docID=1069113</t>
  </si>
  <si>
    <t>https://ebookcentral.proquest.com/lib/kyungpook/detail.action?docID=1069121</t>
  </si>
  <si>
    <t>https://ebookcentral.proquest.com/lib/kyungpook/detail.action?docID=1069125</t>
  </si>
  <si>
    <t>https://ebookcentral.proquest.com/lib/kyungpook/detail.action?docID=1073478</t>
  </si>
  <si>
    <t>https://ebookcentral.proquest.com/lib/kyungpook/detail.action?docID=1073487</t>
  </si>
  <si>
    <t>https://ebookcentral.proquest.com/lib/kyungpook/detail.action?docID=1073489</t>
  </si>
  <si>
    <t>https://ebookcentral.proquest.com/lib/kyungpook/detail.action?docID=1075605</t>
  </si>
  <si>
    <t>https://ebookcentral.proquest.com/lib/kyungpook/detail.action?docID=1075997</t>
  </si>
  <si>
    <t>https://ebookcentral.proquest.com/lib/kyungpook/detail.action?docID=1081564</t>
  </si>
  <si>
    <t>https://ebookcentral.proquest.com/lib/kyungpook/detail.action?docID=1081581</t>
  </si>
  <si>
    <t>https://ebookcentral.proquest.com/lib/kyungpook/detail.action?docID=1102312</t>
  </si>
  <si>
    <t>https://ebookcentral.proquest.com/lib/kyungpook/detail.action?docID=1104468</t>
  </si>
  <si>
    <t>https://ebookcentral.proquest.com/lib/kyungpook/detail.action?docID=1107716</t>
  </si>
  <si>
    <t>https://ebookcentral.proquest.com/lib/kyungpook/detail.action?docID=1109718</t>
  </si>
  <si>
    <t>https://ebookcentral.proquest.com/lib/kyungpook/detail.action?docID=1111289</t>
  </si>
  <si>
    <t>https://ebookcentral.proquest.com/lib/kyungpook/detail.action?docID=1114595</t>
  </si>
  <si>
    <t>https://ebookcentral.proquest.com/lib/kyungpook/detail.action?docID=1118490</t>
  </si>
  <si>
    <t>https://ebookcentral.proquest.com/lib/kyungpook/detail.action?docID=1118755</t>
  </si>
  <si>
    <t>https://ebookcentral.proquest.com/lib/kyungpook/detail.action?docID=1120268</t>
  </si>
  <si>
    <t>https://ebookcentral.proquest.com/lib/kyungpook/detail.action?docID=1120572</t>
  </si>
  <si>
    <t>https://ebookcentral.proquest.com/lib/kyungpook/detail.action?docID=1120580</t>
  </si>
  <si>
    <t>https://ebookcentral.proquest.com/lib/kyungpook/detail.action?docID=1120617</t>
  </si>
  <si>
    <t>https://ebookcentral.proquest.com/lib/kyungpook/detail.action?docID=1120685</t>
  </si>
  <si>
    <t>https://ebookcentral.proquest.com/lib/kyungpook/detail.action?docID=1126726</t>
  </si>
  <si>
    <t>https://ebookcentral.proquest.com/lib/kyungpook/detail.action?docID=1129590</t>
  </si>
  <si>
    <t>https://ebookcentral.proquest.com/lib/kyungpook/detail.action?docID=1132319</t>
  </si>
  <si>
    <t>https://ebookcentral.proquest.com/lib/kyungpook/detail.action?docID=1133316</t>
  </si>
  <si>
    <t>https://ebookcentral.proquest.com/lib/kyungpook/detail.action?docID=1137502</t>
  </si>
  <si>
    <t>https://ebookcentral.proquest.com/lib/kyungpook/detail.action?docID=1137503</t>
  </si>
  <si>
    <t>https://ebookcentral.proquest.com/lib/kyungpook/detail.action?docID=1137707</t>
  </si>
  <si>
    <t>https://ebookcentral.proquest.com/lib/kyungpook/detail.action?docID=1140107</t>
  </si>
  <si>
    <t>https://ebookcentral.proquest.com/lib/kyungpook/detail.action?docID=1152956</t>
  </si>
  <si>
    <t>https://ebookcentral.proquest.com/lib/kyungpook/detail.action?docID=1153294</t>
  </si>
  <si>
    <t>https://ebookcentral.proquest.com/lib/kyungpook/detail.action?docID=1158508</t>
  </si>
  <si>
    <t>https://ebookcentral.proquest.com/lib/kyungpook/detail.action?docID=1164978</t>
  </si>
  <si>
    <t>https://ebookcentral.proquest.com/lib/kyungpook/detail.action?docID=1168161</t>
  </si>
  <si>
    <t>https://ebookcentral.proquest.com/lib/kyungpook/detail.action?docID=1170363</t>
  </si>
  <si>
    <t>https://ebookcentral.proquest.com/lib/kyungpook/detail.action?docID=1182802</t>
  </si>
  <si>
    <t>https://ebookcentral.proquest.com/lib/kyungpook/detail.action?docID=1185534</t>
  </si>
  <si>
    <t>https://ebookcentral.proquest.com/lib/kyungpook/detail.action?docID=1187226</t>
  </si>
  <si>
    <t>https://ebookcentral.proquest.com/lib/kyungpook/detail.action?docID=1190926</t>
  </si>
  <si>
    <t>https://ebookcentral.proquest.com/lib/kyungpook/detail.action?docID=1192583</t>
  </si>
  <si>
    <t>https://ebookcentral.proquest.com/lib/kyungpook/detail.action?docID=1204745</t>
  </si>
  <si>
    <t>https://ebookcentral.proquest.com/lib/kyungpook/detail.action?docID=1209947</t>
  </si>
  <si>
    <t>https://ebookcentral.proquest.com/lib/kyungpook/detail.action?docID=1214387</t>
  </si>
  <si>
    <t>https://ebookcentral.proquest.com/lib/kyungpook/detail.action?docID=1220636</t>
  </si>
  <si>
    <t>https://ebookcentral.proquest.com/lib/kyungpook/detail.action?docID=1220637</t>
  </si>
  <si>
    <t>https://ebookcentral.proquest.com/lib/kyungpook/detail.action?docID=1220638</t>
  </si>
  <si>
    <t>https://ebookcentral.proquest.com/lib/kyungpook/detail.action?docID=1220639</t>
  </si>
  <si>
    <t>https://ebookcentral.proquest.com/lib/kyungpook/detail.action?docID=1220640</t>
  </si>
  <si>
    <t>https://ebookcentral.proquest.com/lib/kyungpook/detail.action?docID=1220641</t>
  </si>
  <si>
    <t>https://ebookcentral.proquest.com/lib/kyungpook/detail.action?docID=1220642</t>
  </si>
  <si>
    <t>https://ebookcentral.proquest.com/lib/kyungpook/detail.action?docID=1220643</t>
  </si>
  <si>
    <t>https://ebookcentral.proquest.com/lib/kyungpook/detail.action?docID=1220644</t>
  </si>
  <si>
    <t>https://ebookcentral.proquest.com/lib/kyungpook/detail.action?docID=1220645</t>
  </si>
  <si>
    <t>https://ebookcentral.proquest.com/lib/kyungpook/detail.action?docID=1220646</t>
  </si>
  <si>
    <t>https://ebookcentral.proquest.com/lib/kyungpook/detail.action?docID=1220647</t>
  </si>
  <si>
    <t>https://ebookcentral.proquest.com/lib/kyungpook/detail.action?docID=1220648</t>
  </si>
  <si>
    <t>https://ebookcentral.proquest.com/lib/kyungpook/detail.action?docID=1220649</t>
  </si>
  <si>
    <t>https://ebookcentral.proquest.com/lib/kyungpook/detail.action?docID=1220650</t>
  </si>
  <si>
    <t>https://ebookcentral.proquest.com/lib/kyungpook/detail.action?docID=1220651</t>
  </si>
  <si>
    <t>https://ebookcentral.proquest.com/lib/kyungpook/detail.action?docID=1220652</t>
  </si>
  <si>
    <t>https://ebookcentral.proquest.com/lib/kyungpook/detail.action?docID=1220654</t>
  </si>
  <si>
    <t>https://ebookcentral.proquest.com/lib/kyungpook/detail.action?docID=1274269</t>
  </si>
  <si>
    <t>https://ebookcentral.proquest.com/lib/kyungpook/detail.action?docID=1274385</t>
  </si>
  <si>
    <t>https://ebookcentral.proquest.com/lib/kyungpook/detail.action?docID=1286889</t>
  </si>
  <si>
    <t>https://ebookcentral.proquest.com/lib/kyungpook/detail.action?docID=1303572</t>
  </si>
  <si>
    <t>https://ebookcentral.proquest.com/lib/kyungpook/detail.action?docID=1322330</t>
  </si>
  <si>
    <t>https://ebookcentral.proquest.com/lib/kyungpook/detail.action?docID=1330901</t>
  </si>
  <si>
    <t>https://ebookcentral.proquest.com/lib/kyungpook/detail.action?docID=1336501</t>
  </si>
  <si>
    <t>https://ebookcentral.proquest.com/lib/kyungpook/detail.action?docID=1337884</t>
  </si>
  <si>
    <t>https://ebookcentral.proquest.com/lib/kyungpook/detail.action?docID=1354685</t>
  </si>
  <si>
    <t>https://ebookcentral.proquest.com/lib/kyungpook/detail.action?docID=1357379</t>
  </si>
  <si>
    <t>https://ebookcentral.proquest.com/lib/kyungpook/detail.action?docID=1362034</t>
  </si>
  <si>
    <t>https://ebookcentral.proquest.com/lib/kyungpook/detail.action?docID=1386985</t>
  </si>
  <si>
    <t>https://ebookcentral.proquest.com/lib/kyungpook/detail.action?docID=1386986</t>
  </si>
  <si>
    <t>https://ebookcentral.proquest.com/lib/kyungpook/detail.action?docID=1387161</t>
  </si>
  <si>
    <t>https://ebookcentral.proquest.com/lib/kyungpook/detail.action?docID=1398195</t>
  </si>
  <si>
    <t>https://ebookcentral.proquest.com/lib/kyungpook/detail.action?docID=1402856</t>
  </si>
  <si>
    <t>https://ebookcentral.proquest.com/lib/kyungpook/detail.action?docID=1402905</t>
  </si>
  <si>
    <t>https://ebookcentral.proquest.com/lib/kyungpook/detail.action?docID=1455574</t>
  </si>
  <si>
    <t>https://ebookcentral.proquest.com/lib/kyungpook/detail.action?docID=1480972</t>
  </si>
  <si>
    <t>https://ebookcentral.proquest.com/lib/kyungpook/detail.action?docID=1492914</t>
  </si>
  <si>
    <t>https://ebookcentral.proquest.com/lib/kyungpook/detail.action?docID=1507496</t>
  </si>
  <si>
    <t>https://ebookcentral.proquest.com/lib/kyungpook/detail.action?docID=1538365</t>
  </si>
  <si>
    <t>https://ebookcentral.proquest.com/lib/kyungpook/detail.action?docID=1569622</t>
  </si>
  <si>
    <t>https://ebookcentral.proquest.com/lib/kyungpook/detail.action?docID=1572868</t>
  </si>
  <si>
    <t>https://ebookcentral.proquest.com/lib/kyungpook/detail.action?docID=1573118</t>
  </si>
  <si>
    <t>https://ebookcentral.proquest.com/lib/kyungpook/detail.action?docID=1579690</t>
  </si>
  <si>
    <t>https://ebookcentral.proquest.com/lib/kyungpook/detail.action?docID=1582264</t>
  </si>
  <si>
    <t>https://ebookcentral.proquest.com/lib/kyungpook/detail.action?docID=1582383</t>
  </si>
  <si>
    <t>https://ebookcentral.proquest.com/lib/kyungpook/detail.action?docID=1582931</t>
  </si>
  <si>
    <t>https://ebookcentral.proquest.com/lib/kyungpook/detail.action?docID=1591060</t>
  </si>
  <si>
    <t>https://ebookcentral.proquest.com/lib/kyungpook/detail.action?docID=1591335</t>
  </si>
  <si>
    <t>https://ebookcentral.proquest.com/lib/kyungpook/detail.action?docID=1591531</t>
  </si>
  <si>
    <t>https://ebookcentral.proquest.com/lib/kyungpook/detail.action?docID=1593394</t>
  </si>
  <si>
    <t>https://ebookcentral.proquest.com/lib/kyungpook/detail.action?docID=1593634</t>
  </si>
  <si>
    <t>https://ebookcentral.proquest.com/lib/kyungpook/detail.action?docID=1593665</t>
  </si>
  <si>
    <t>https://ebookcentral.proquest.com/lib/kyungpook/detail.action?docID=1593670</t>
  </si>
  <si>
    <t>https://ebookcentral.proquest.com/lib/kyungpook/detail.action?docID=1593680</t>
  </si>
  <si>
    <t>https://ebookcentral.proquest.com/lib/kyungpook/detail.action?docID=1593685</t>
  </si>
  <si>
    <t>https://ebookcentral.proquest.com/lib/kyungpook/detail.action?docID=1593704</t>
  </si>
  <si>
    <t>https://ebookcentral.proquest.com/lib/kyungpook/detail.action?docID=1593738</t>
  </si>
  <si>
    <t>https://ebookcentral.proquest.com/lib/kyungpook/detail.action?docID=1593739</t>
  </si>
  <si>
    <t>https://ebookcentral.proquest.com/lib/kyungpook/detail.action?docID=1594580</t>
  </si>
  <si>
    <t>https://ebookcentral.proquest.com/lib/kyungpook/detail.action?docID=1594591</t>
  </si>
  <si>
    <t>https://ebookcentral.proquest.com/lib/kyungpook/detail.action?docID=1594609</t>
  </si>
  <si>
    <t>https://ebookcentral.proquest.com/lib/kyungpook/detail.action?docID=1594680</t>
  </si>
  <si>
    <t>https://ebookcentral.proquest.com/lib/kyungpook/detail.action?docID=1594694</t>
  </si>
  <si>
    <t>https://ebookcentral.proquest.com/lib/kyungpook/detail.action?docID=1594711</t>
  </si>
  <si>
    <t>https://ebookcentral.proquest.com/lib/kyungpook/detail.action?docID=1594728</t>
  </si>
  <si>
    <t>https://ebookcentral.proquest.com/lib/kyungpook/detail.action?docID=1594747</t>
  </si>
  <si>
    <t>https://ebookcentral.proquest.com/lib/kyungpook/detail.action?docID=1594749</t>
  </si>
  <si>
    <t>https://ebookcentral.proquest.com/lib/kyungpook/detail.action?docID=1594823</t>
  </si>
  <si>
    <t>https://ebookcentral.proquest.com/lib/kyungpook/detail.action?docID=1596841</t>
  </si>
  <si>
    <t>https://ebookcentral.proquest.com/lib/kyungpook/detail.action?docID=1597584</t>
  </si>
  <si>
    <t>https://ebookcentral.proquest.com/lib/kyungpook/detail.action?docID=1602504</t>
  </si>
  <si>
    <t>https://ebookcentral.proquest.com/lib/kyungpook/detail.action?docID=1611704</t>
  </si>
  <si>
    <t>https://ebookcentral.proquest.com/lib/kyungpook/detail.action?docID=1630550</t>
  </si>
  <si>
    <t>https://ebookcentral.proquest.com/lib/kyungpook/detail.action?docID=1630551</t>
  </si>
  <si>
    <t>https://ebookcentral.proquest.com/lib/kyungpook/detail.action?docID=1630554</t>
  </si>
  <si>
    <t>https://ebookcentral.proquest.com/lib/kyungpook/detail.action?docID=1630555</t>
  </si>
  <si>
    <t>https://ebookcentral.proquest.com/lib/kyungpook/detail.action?docID=1632822</t>
  </si>
  <si>
    <t>https://ebookcentral.proquest.com/lib/kyungpook/detail.action?docID=1636277</t>
  </si>
  <si>
    <t>https://ebookcentral.proquest.com/lib/kyungpook/detail.action?docID=1641590</t>
  </si>
  <si>
    <t>https://ebookcentral.proquest.com/lib/kyungpook/detail.action?docID=1643911</t>
  </si>
  <si>
    <t>https://ebookcentral.proquest.com/lib/kyungpook/detail.action?docID=1653007</t>
  </si>
  <si>
    <t>https://ebookcentral.proquest.com/lib/kyungpook/detail.action?docID=1653008</t>
  </si>
  <si>
    <t>https://ebookcentral.proquest.com/lib/kyungpook/detail.action?docID=1653011</t>
  </si>
  <si>
    <t>https://ebookcentral.proquest.com/lib/kyungpook/detail.action?docID=1653012</t>
  </si>
  <si>
    <t>https://ebookcentral.proquest.com/lib/kyungpook/detail.action?docID=1653013</t>
  </si>
  <si>
    <t>https://ebookcentral.proquest.com/lib/kyungpook/detail.action?docID=1653015</t>
  </si>
  <si>
    <t>https://ebookcentral.proquest.com/lib/kyungpook/detail.action?docID=1653016</t>
  </si>
  <si>
    <t>https://ebookcentral.proquest.com/lib/kyungpook/detail.action?docID=1653017</t>
  </si>
  <si>
    <t>https://ebookcentral.proquest.com/lib/kyungpook/detail.action?docID=1653018</t>
  </si>
  <si>
    <t>https://ebookcentral.proquest.com/lib/kyungpook/detail.action?docID=1653019</t>
  </si>
  <si>
    <t>https://ebookcentral.proquest.com/lib/kyungpook/detail.action?docID=1653020</t>
  </si>
  <si>
    <t>https://ebookcentral.proquest.com/lib/kyungpook/detail.action?docID=1653183</t>
  </si>
  <si>
    <t>https://ebookcentral.proquest.com/lib/kyungpook/detail.action?docID=1653194</t>
  </si>
  <si>
    <t>https://ebookcentral.proquest.com/lib/kyungpook/detail.action?docID=1657764</t>
  </si>
  <si>
    <t>https://ebookcentral.proquest.com/lib/kyungpook/detail.action?docID=1657922</t>
  </si>
  <si>
    <t>https://ebookcentral.proquest.com/lib/kyungpook/detail.action?docID=1664173</t>
  </si>
  <si>
    <t>https://ebookcentral.proquest.com/lib/kyungpook/detail.action?docID=1666486</t>
  </si>
  <si>
    <t>https://ebookcentral.proquest.com/lib/kyungpook/detail.action?docID=1675122</t>
  </si>
  <si>
    <t>https://ebookcentral.proquest.com/lib/kyungpook/detail.action?docID=1675123</t>
  </si>
  <si>
    <t>https://ebookcentral.proquest.com/lib/kyungpook/detail.action?docID=1684790</t>
  </si>
  <si>
    <t>https://ebookcentral.proquest.com/lib/kyungpook/detail.action?docID=1687062</t>
  </si>
  <si>
    <t>https://ebookcentral.proquest.com/lib/kyungpook/detail.action?docID=1690585</t>
  </si>
  <si>
    <t>https://ebookcentral.proquest.com/lib/kyungpook/detail.action?docID=1711021</t>
  </si>
  <si>
    <t>https://ebookcentral.proquest.com/lib/kyungpook/detail.action?docID=1711030</t>
  </si>
  <si>
    <t>https://ebookcentral.proquest.com/lib/kyungpook/detail.action?docID=1712887</t>
  </si>
  <si>
    <t>https://ebookcentral.proquest.com/lib/kyungpook/detail.action?docID=1718160</t>
  </si>
  <si>
    <t>https://ebookcentral.proquest.com/lib/kyungpook/detail.action?docID=1732115</t>
  </si>
  <si>
    <t>https://ebookcentral.proquest.com/lib/kyungpook/detail.action?docID=1732497</t>
  </si>
  <si>
    <t>https://ebookcentral.proquest.com/lib/kyungpook/detail.action?docID=1744970</t>
  </si>
  <si>
    <t>https://ebookcentral.proquest.com/lib/kyungpook/detail.action?docID=1747371</t>
  </si>
  <si>
    <t>https://ebookcentral.proquest.com/lib/kyungpook/detail.action?docID=1754258</t>
  </si>
  <si>
    <t>https://ebookcentral.proquest.com/lib/kyungpook/detail.action?docID=1757960</t>
  </si>
  <si>
    <t>https://ebookcentral.proquest.com/lib/kyungpook/detail.action?docID=1765081</t>
  </si>
  <si>
    <t>https://ebookcentral.proquest.com/lib/kyungpook/detail.action?docID=1767025</t>
  </si>
  <si>
    <t>https://ebookcentral.proquest.com/lib/kyungpook/detail.action?docID=1770453</t>
  </si>
  <si>
    <t>https://ebookcentral.proquest.com/lib/kyungpook/detail.action?docID=1770684</t>
  </si>
  <si>
    <t>https://ebookcentral.proquest.com/lib/kyungpook/detail.action?docID=1770688</t>
  </si>
  <si>
    <t>https://ebookcentral.proquest.com/lib/kyungpook/detail.action?docID=1777818</t>
  </si>
  <si>
    <t>https://ebookcentral.proquest.com/lib/kyungpook/detail.action?docID=1779115</t>
  </si>
  <si>
    <t>https://ebookcentral.proquest.com/lib/kyungpook/detail.action?docID=1779117</t>
  </si>
  <si>
    <t>https://ebookcentral.proquest.com/lib/kyungpook/detail.action?docID=1779118</t>
  </si>
  <si>
    <t>https://ebookcentral.proquest.com/lib/kyungpook/detail.action?docID=1779120</t>
  </si>
  <si>
    <t>https://ebookcentral.proquest.com/lib/kyungpook/detail.action?docID=1779124</t>
  </si>
  <si>
    <t>https://ebookcentral.proquest.com/lib/kyungpook/detail.action?docID=1780089</t>
  </si>
  <si>
    <t>https://ebookcentral.proquest.com/lib/kyungpook/detail.action?docID=1780104</t>
  </si>
  <si>
    <t>https://ebookcentral.proquest.com/lib/kyungpook/detail.action?docID=1781840</t>
  </si>
  <si>
    <t>https://ebookcentral.proquest.com/lib/kyungpook/detail.action?docID=1801269</t>
  </si>
  <si>
    <t>https://ebookcentral.proquest.com/lib/kyungpook/detail.action?docID=1808166</t>
  </si>
  <si>
    <t>https://ebookcentral.proquest.com/lib/kyungpook/detail.action?docID=1810330</t>
  </si>
  <si>
    <t>https://ebookcentral.proquest.com/lib/kyungpook/detail.action?docID=1811476</t>
  </si>
  <si>
    <t>https://ebookcentral.proquest.com/lib/kyungpook/detail.action?docID=1813354</t>
  </si>
  <si>
    <t>https://ebookcentral.proquest.com/lib/kyungpook/detail.action?docID=1814984</t>
  </si>
  <si>
    <t>https://ebookcentral.proquest.com/lib/kyungpook/detail.action?docID=1819338</t>
  </si>
  <si>
    <t>https://ebookcentral.proquest.com/lib/kyungpook/detail.action?docID=1824307</t>
  </si>
  <si>
    <t>https://ebookcentral.proquest.com/lib/kyungpook/detail.action?docID=1832443</t>
  </si>
  <si>
    <t>https://ebookcentral.proquest.com/lib/kyungpook/detail.action?docID=1876193</t>
  </si>
  <si>
    <t>https://ebookcentral.proquest.com/lib/kyungpook/detail.action?docID=1877219</t>
  </si>
  <si>
    <t>https://ebookcentral.proquest.com/lib/kyungpook/detail.action?docID=1882140</t>
  </si>
  <si>
    <t>https://ebookcentral.proquest.com/lib/kyungpook/detail.action?docID=1882167</t>
  </si>
  <si>
    <t>https://ebookcentral.proquest.com/lib/kyungpook/detail.action?docID=1886740</t>
  </si>
  <si>
    <t>https://ebookcentral.proquest.com/lib/kyungpook/detail.action?docID=1895039</t>
  </si>
  <si>
    <t>https://ebookcentral.proquest.com/lib/kyungpook/detail.action?docID=1895085</t>
  </si>
  <si>
    <t>https://ebookcentral.proquest.com/lib/kyungpook/detail.action?docID=1895466</t>
  </si>
  <si>
    <t>https://ebookcentral.proquest.com/lib/kyungpook/detail.action?docID=1895479</t>
  </si>
  <si>
    <t>https://ebookcentral.proquest.com/lib/kyungpook/detail.action?docID=1895505</t>
  </si>
  <si>
    <t>https://ebookcentral.proquest.com/lib/kyungpook/detail.action?docID=1895603</t>
  </si>
  <si>
    <t>https://ebookcentral.proquest.com/lib/kyungpook/detail.action?docID=1895648</t>
  </si>
  <si>
    <t>https://ebookcentral.proquest.com/lib/kyungpook/detail.action?docID=1895704</t>
  </si>
  <si>
    <t>https://ebookcentral.proquest.com/lib/kyungpook/detail.action?docID=1895705</t>
  </si>
  <si>
    <t>https://ebookcentral.proquest.com/lib/kyungpook/detail.action?docID=1895798</t>
  </si>
  <si>
    <t>https://ebookcentral.proquest.com/lib/kyungpook/detail.action?docID=1895801</t>
  </si>
  <si>
    <t>https://ebookcentral.proquest.com/lib/kyungpook/detail.action?docID=1895802</t>
  </si>
  <si>
    <t>https://ebookcentral.proquest.com/lib/kyungpook/detail.action?docID=1895803</t>
  </si>
  <si>
    <t>https://ebookcentral.proquest.com/lib/kyungpook/detail.action?docID=1896002</t>
  </si>
  <si>
    <t>https://ebookcentral.proquest.com/lib/kyungpook/detail.action?docID=1911581</t>
  </si>
  <si>
    <t>https://ebookcentral.proquest.com/lib/kyungpook/detail.action?docID=1911582</t>
  </si>
  <si>
    <t>https://ebookcentral.proquest.com/lib/kyungpook/detail.action?docID=1911591</t>
  </si>
  <si>
    <t>https://ebookcentral.proquest.com/lib/kyungpook/detail.action?docID=1911969</t>
  </si>
  <si>
    <t>https://ebookcentral.proquest.com/lib/kyungpook/detail.action?docID=1915540</t>
  </si>
  <si>
    <t>https://ebookcentral.proquest.com/lib/kyungpook/detail.action?docID=1920851</t>
  </si>
  <si>
    <t>https://ebookcentral.proquest.com/lib/kyungpook/detail.action?docID=1926069</t>
  </si>
  <si>
    <t>https://ebookcentral.proquest.com/lib/kyungpook/detail.action?docID=1926297</t>
  </si>
  <si>
    <t>https://ebookcentral.proquest.com/lib/kyungpook/detail.action?docID=1931481</t>
  </si>
  <si>
    <t>https://ebookcentral.proquest.com/lib/kyungpook/detail.action?docID=1953173</t>
  </si>
  <si>
    <t>https://ebookcentral.proquest.com/lib/kyungpook/detail.action?docID=1953259</t>
  </si>
  <si>
    <t>https://ebookcentral.proquest.com/lib/kyungpook/detail.action?docID=1956429</t>
  </si>
  <si>
    <t>https://ebookcentral.proquest.com/lib/kyungpook/detail.action?docID=1962924</t>
  </si>
  <si>
    <t>https://ebookcentral.proquest.com/lib/kyungpook/detail.action?docID=1983610</t>
  </si>
  <si>
    <t>https://ebookcentral.proquest.com/lib/kyungpook/detail.action?docID=1992084</t>
  </si>
  <si>
    <t>https://ebookcentral.proquest.com/lib/kyungpook/detail.action?docID=1995291</t>
  </si>
  <si>
    <t>https://ebookcentral.proquest.com/lib/kyungpook/detail.action?docID=1995304</t>
  </si>
  <si>
    <t>https://ebookcentral.proquest.com/lib/kyungpook/detail.action?docID=2006488</t>
  </si>
  <si>
    <t>https://ebookcentral.proquest.com/lib/kyungpook/detail.action?docID=2009908</t>
  </si>
  <si>
    <t>https://ebookcentral.proquest.com/lib/kyungpook/detail.action?docID=2009910</t>
  </si>
  <si>
    <t>https://ebookcentral.proquest.com/lib/kyungpook/detail.action?docID=2012648</t>
  </si>
  <si>
    <t>https://ebookcentral.proquest.com/lib/kyungpook/detail.action?docID=2027190</t>
  </si>
  <si>
    <t>https://ebookcentral.proquest.com/lib/kyungpook/detail.action?docID=2029824</t>
  </si>
  <si>
    <t>https://ebookcentral.proquest.com/lib/kyungpook/detail.action?docID=2033922</t>
  </si>
  <si>
    <t>https://ebookcentral.proquest.com/lib/kyungpook/detail.action?docID=2033940</t>
  </si>
  <si>
    <t>https://ebookcentral.proquest.com/lib/kyungpook/detail.action?docID=2041979</t>
  </si>
  <si>
    <t>https://ebookcentral.proquest.com/lib/kyungpook/detail.action?docID=2044614</t>
  </si>
  <si>
    <t>https://ebookcentral.proquest.com/lib/kyungpook/detail.action?docID=2048505</t>
  </si>
  <si>
    <t>https://ebookcentral.proquest.com/lib/kyungpook/detail.action?docID=2050705</t>
  </si>
  <si>
    <t>https://ebookcentral.proquest.com/lib/kyungpook/detail.action?docID=2050888</t>
  </si>
  <si>
    <t>https://ebookcentral.proquest.com/lib/kyungpook/detail.action?docID=2053970</t>
  </si>
  <si>
    <t>https://ebookcentral.proquest.com/lib/kyungpook/detail.action?docID=2053971</t>
  </si>
  <si>
    <t>https://ebookcentral.proquest.com/lib/kyungpook/detail.action?docID=2055671</t>
  </si>
  <si>
    <t>https://ebookcentral.proquest.com/lib/kyungpook/detail.action?docID=2056410</t>
  </si>
  <si>
    <t>https://ebookcentral.proquest.com/lib/kyungpook/detail.action?docID=2065468</t>
  </si>
  <si>
    <t>https://ebookcentral.proquest.com/lib/kyungpook/detail.action?docID=2066548</t>
  </si>
  <si>
    <t>https://ebookcentral.proquest.com/lib/kyungpook/detail.action?docID=2066553</t>
  </si>
  <si>
    <t>https://ebookcentral.proquest.com/lib/kyungpook/detail.action?docID=2066568</t>
  </si>
  <si>
    <t>https://ebookcentral.proquest.com/lib/kyungpook/detail.action?docID=2068534</t>
  </si>
  <si>
    <t>https://ebookcentral.proquest.com/lib/kyungpook/detail.action?docID=2070517</t>
  </si>
  <si>
    <t>https://ebookcentral.proquest.com/lib/kyungpook/detail.action?docID=2071261</t>
  </si>
  <si>
    <t>https://ebookcentral.proquest.com/lib/kyungpook/detail.action?docID=2077534</t>
  </si>
  <si>
    <t>https://ebookcentral.proquest.com/lib/kyungpook/detail.action?docID=2079971</t>
  </si>
  <si>
    <t>https://ebookcentral.proquest.com/lib/kyungpook/detail.action?docID=2080033</t>
  </si>
  <si>
    <t>https://ebookcentral.proquest.com/lib/kyungpook/detail.action?docID=2080049</t>
  </si>
  <si>
    <t>https://ebookcentral.proquest.com/lib/kyungpook/detail.action?docID=2080108</t>
  </si>
  <si>
    <t>https://ebookcentral.proquest.com/lib/kyungpook/detail.action?docID=2080118</t>
  </si>
  <si>
    <t>https://ebookcentral.proquest.com/lib/kyungpook/detail.action?docID=2080169</t>
  </si>
  <si>
    <t>https://ebookcentral.proquest.com/lib/kyungpook/detail.action?docID=2084444</t>
  </si>
  <si>
    <t>https://ebookcentral.proquest.com/lib/kyungpook/detail.action?docID=2089252</t>
  </si>
  <si>
    <t>https://ebookcentral.proquest.com/lib/kyungpook/detail.action?docID=2093289</t>
  </si>
  <si>
    <t>https://ebookcentral.proquest.com/lib/kyungpook/detail.action?docID=2093307</t>
  </si>
  <si>
    <t>https://ebookcentral.proquest.com/lib/kyungpook/detail.action?docID=2093326</t>
  </si>
  <si>
    <t>https://ebookcentral.proquest.com/lib/kyungpook/detail.action?docID=2121292</t>
  </si>
  <si>
    <t>https://ebookcentral.proquest.com/lib/kyungpook/detail.action?docID=2144875</t>
  </si>
  <si>
    <t>https://ebookcentral.proquest.com/lib/kyungpook/detail.action?docID=2144880</t>
  </si>
  <si>
    <t>https://ebookcentral.proquest.com/lib/kyungpook/detail.action?docID=2144898</t>
  </si>
  <si>
    <t>https://ebookcentral.proquest.com/lib/kyungpook/detail.action?docID=2146902</t>
  </si>
  <si>
    <t>https://ebookcentral.proquest.com/lib/kyungpook/detail.action?docID=2146910</t>
  </si>
  <si>
    <t>https://ebookcentral.proquest.com/lib/kyungpook/detail.action?docID=2146913</t>
  </si>
  <si>
    <t>https://ebookcentral.proquest.com/lib/kyungpook/detail.action?docID=2198116</t>
  </si>
  <si>
    <t>https://ebookcentral.proquest.com/lib/kyungpook/detail.action?docID=2198233</t>
  </si>
  <si>
    <t>https://ebookcentral.proquest.com/lib/kyungpook/detail.action?docID=2198494</t>
  </si>
  <si>
    <t>https://ebookcentral.proquest.com/lib/kyungpook/detail.action?docID=3004094</t>
  </si>
  <si>
    <t>https://ebookcentral.proquest.com/lib/kyungpook/detail.action?docID=3004132</t>
  </si>
  <si>
    <t>https://ebookcentral.proquest.com/lib/kyungpook/detail.action?docID=3017193</t>
  </si>
  <si>
    <t>https://ebookcentral.proquest.com/lib/kyungpook/detail.action?docID=3017210</t>
  </si>
  <si>
    <t>https://ebookcentral.proquest.com/lib/kyungpook/detail.action?docID=3032295</t>
  </si>
  <si>
    <t>https://ebookcentral.proquest.com/lib/kyungpook/detail.action?docID=3039328</t>
  </si>
  <si>
    <t>https://ebookcentral.proquest.com/lib/kyungpook/detail.action?docID=3039398</t>
  </si>
  <si>
    <t>https://ebookcentral.proquest.com/lib/kyungpook/detail.action?docID=3055295</t>
  </si>
  <si>
    <t>https://ebookcentral.proquest.com/lib/kyungpook/detail.action?docID=3116734</t>
  </si>
  <si>
    <t>https://ebookcentral.proquest.com/lib/kyungpook/detail.action?docID=3134697</t>
  </si>
  <si>
    <t>https://ebookcentral.proquest.com/lib/kyungpook/detail.action?docID=3138650</t>
  </si>
  <si>
    <t>https://ebookcentral.proquest.com/lib/kyungpook/detail.action?docID=3138726</t>
  </si>
  <si>
    <t>https://ebookcentral.proquest.com/lib/kyungpook/detail.action?docID=3239053</t>
  </si>
  <si>
    <t>https://ebookcentral.proquest.com/lib/kyungpook/detail.action?docID=3239072</t>
  </si>
  <si>
    <t>https://ebookcentral.proquest.com/lib/kyungpook/detail.action?docID=3239090</t>
  </si>
  <si>
    <t>https://ebookcentral.proquest.com/lib/kyungpook/detail.action?docID=3299489</t>
  </si>
  <si>
    <t>https://ebookcentral.proquest.com/lib/kyungpook/detail.action?docID=3299491</t>
  </si>
  <si>
    <t>https://ebookcentral.proquest.com/lib/kyungpook/detail.action?docID=3299493</t>
  </si>
  <si>
    <t>https://ebookcentral.proquest.com/lib/kyungpook/detail.action?docID=3299499</t>
  </si>
  <si>
    <t>https://ebookcentral.proquest.com/lib/kyungpook/detail.action?docID=3299522</t>
  </si>
  <si>
    <t>https://ebookcentral.proquest.com/lib/kyungpook/detail.action?docID=3299574</t>
  </si>
  <si>
    <t>https://ebookcentral.proquest.com/lib/kyungpook/detail.action?docID=3316147</t>
  </si>
  <si>
    <t>https://ebookcentral.proquest.com/lib/kyungpook/detail.action?docID=3316806</t>
  </si>
  <si>
    <t>https://ebookcentral.proquest.com/lib/kyungpook/detail.action?docID=3318589</t>
  </si>
  <si>
    <t>https://ebookcentral.proquest.com/lib/kyungpook/detail.action?docID=3318621</t>
  </si>
  <si>
    <t>https://ebookcentral.proquest.com/lib/kyungpook/detail.action?docID=3318723</t>
  </si>
  <si>
    <t>https://ebookcentral.proquest.com/lib/kyungpook/detail.action?docID=3318802</t>
  </si>
  <si>
    <t>https://ebookcentral.proquest.com/lib/kyungpook/detail.action?docID=3318832</t>
  </si>
  <si>
    <t>https://ebookcentral.proquest.com/lib/kyungpook/detail.action?docID=3318838</t>
  </si>
  <si>
    <t>https://ebookcentral.proquest.com/lib/kyungpook/detail.action?docID=3328982</t>
  </si>
  <si>
    <t>https://ebookcentral.proquest.com/lib/kyungpook/detail.action?docID=3329073</t>
  </si>
  <si>
    <t>https://ebookcentral.proquest.com/lib/kyungpook/detail.action?docID=3329074</t>
  </si>
  <si>
    <t>https://ebookcentral.proquest.com/lib/kyungpook/detail.action?docID=3330284</t>
  </si>
  <si>
    <t>https://ebookcentral.proquest.com/lib/kyungpook/detail.action?docID=3330287</t>
  </si>
  <si>
    <t>https://ebookcentral.proquest.com/lib/kyungpook/detail.action?docID=3330291</t>
  </si>
  <si>
    <t>https://ebookcentral.proquest.com/lib/kyungpook/detail.action?docID=3330293</t>
  </si>
  <si>
    <t>https://ebookcentral.proquest.com/lib/kyungpook/detail.action?docID=3330295</t>
  </si>
  <si>
    <t>https://ebookcentral.proquest.com/lib/kyungpook/detail.action?docID=3338861</t>
  </si>
  <si>
    <t>https://ebookcentral.proquest.com/lib/kyungpook/detail.action?docID=3339439</t>
  </si>
  <si>
    <t>https://ebookcentral.proquest.com/lib/kyungpook/detail.action?docID=3339457</t>
  </si>
  <si>
    <t>https://ebookcentral.proquest.com/lib/kyungpook/detail.action?docID=3339585</t>
  </si>
  <si>
    <t>https://ebookcentral.proquest.com/lib/kyungpook/detail.action?docID=3339617</t>
  </si>
  <si>
    <t>https://ebookcentral.proquest.com/lib/kyungpook/detail.action?docID=3339619</t>
  </si>
  <si>
    <t>https://ebookcentral.proquest.com/lib/kyungpook/detail.action?docID=3339648</t>
  </si>
  <si>
    <t>https://ebookcentral.proquest.com/lib/kyungpook/detail.action?docID=3339690</t>
  </si>
  <si>
    <t>https://ebookcentral.proquest.com/lib/kyungpook/detail.action?docID=3339703</t>
  </si>
  <si>
    <t>https://ebookcentral.proquest.com/lib/kyungpook/detail.action?docID=3339724</t>
  </si>
  <si>
    <t>https://ebookcentral.proquest.com/lib/kyungpook/detail.action?docID=3339730</t>
  </si>
  <si>
    <t>https://ebookcentral.proquest.com/lib/kyungpook/detail.action?docID=3339814</t>
  </si>
  <si>
    <t>https://ebookcentral.proquest.com/lib/kyungpook/detail.action?docID=3339846</t>
  </si>
  <si>
    <t>https://ebookcentral.proquest.com/lib/kyungpook/detail.action?docID=3339848</t>
  </si>
  <si>
    <t>https://ebookcentral.proquest.com/lib/kyungpook/detail.action?docID=3339873</t>
  </si>
  <si>
    <t>https://ebookcentral.proquest.com/lib/kyungpook/detail.action?docID=3339919</t>
  </si>
  <si>
    <t>https://ebookcentral.proquest.com/lib/kyungpook/detail.action?docID=3339924</t>
  </si>
  <si>
    <t>https://ebookcentral.proquest.com/lib/kyungpook/detail.action?docID=3339987</t>
  </si>
  <si>
    <t>https://ebookcentral.proquest.com/lib/kyungpook/detail.action?docID=3339988</t>
  </si>
  <si>
    <t>https://ebookcentral.proquest.com/lib/kyungpook/detail.action?docID=3339990</t>
  </si>
  <si>
    <t>https://ebookcentral.proquest.com/lib/kyungpook/detail.action?docID=3382465</t>
  </si>
  <si>
    <t>https://ebookcentral.proquest.com/lib/kyungpook/detail.action?docID=3382466</t>
  </si>
  <si>
    <t>https://ebookcentral.proquest.com/lib/kyungpook/detail.action?docID=3382478</t>
  </si>
  <si>
    <t>https://ebookcentral.proquest.com/lib/kyungpook/detail.action?docID=3382481</t>
  </si>
  <si>
    <t>https://ebookcentral.proquest.com/lib/kyungpook/detail.action?docID=3382482</t>
  </si>
  <si>
    <t>https://ebookcentral.proquest.com/lib/kyungpook/detail.action?docID=3382498</t>
  </si>
  <si>
    <t>https://ebookcentral.proquest.com/lib/kyungpook/detail.action?docID=3382501</t>
  </si>
  <si>
    <t>https://ebookcentral.proquest.com/lib/kyungpook/detail.action?docID=3382519</t>
  </si>
  <si>
    <t>https://ebookcentral.proquest.com/lib/kyungpook/detail.action?docID=3382520</t>
  </si>
  <si>
    <t>https://ebookcentral.proquest.com/lib/kyungpook/detail.action?docID=3382532</t>
  </si>
  <si>
    <t>https://ebookcentral.proquest.com/lib/kyungpook/detail.action?docID=3382545</t>
  </si>
  <si>
    <t>https://ebookcentral.proquest.com/lib/kyungpook/detail.action?docID=3384060</t>
  </si>
  <si>
    <t>https://ebookcentral.proquest.com/lib/kyungpook/detail.action?docID=3399773</t>
  </si>
  <si>
    <t>https://ebookcentral.proquest.com/lib/kyungpook/detail.action?docID=3399786</t>
  </si>
  <si>
    <t>https://ebookcentral.proquest.com/lib/kyungpook/detail.action?docID=3399787</t>
  </si>
  <si>
    <t>https://ebookcentral.proquest.com/lib/kyungpook/detail.action?docID=3399811</t>
  </si>
  <si>
    <t>https://ebookcentral.proquest.com/lib/kyungpook/detail.action?docID=3399820</t>
  </si>
  <si>
    <t>https://ebookcentral.proquest.com/lib/kyungpook/detail.action?docID=3399845</t>
  </si>
  <si>
    <t>https://ebookcentral.proquest.com/lib/kyungpook/detail.action?docID=3399902</t>
  </si>
  <si>
    <t>https://ebookcentral.proquest.com/lib/kyungpook/detail.action?docID=3414458</t>
  </si>
  <si>
    <t>https://ebookcentral.proquest.com/lib/kyungpook/detail.action?docID=3420850</t>
  </si>
  <si>
    <t>https://ebookcentral.proquest.com/lib/kyungpook/detail.action?docID=3420854</t>
  </si>
  <si>
    <t>https://ebookcentral.proquest.com/lib/kyungpook/detail.action?docID=3421066</t>
  </si>
  <si>
    <t>https://ebookcentral.proquest.com/lib/kyungpook/detail.action?docID=3421068</t>
  </si>
  <si>
    <t>https://ebookcentral.proquest.com/lib/kyungpook/detail.action?docID=3421352</t>
  </si>
  <si>
    <t>https://ebookcentral.proquest.com/lib/kyungpook/detail.action?docID=3440213</t>
  </si>
  <si>
    <t>https://ebookcentral.proquest.com/lib/kyungpook/detail.action?docID=3543950</t>
  </si>
  <si>
    <t>https://ebookcentral.proquest.com/lib/kyungpook/detail.action?docID=3543953</t>
  </si>
  <si>
    <t>https://ebookcentral.proquest.com/lib/kyungpook/detail.action?docID=3544751</t>
  </si>
  <si>
    <t>https://ebookcentral.proquest.com/lib/kyungpook/detail.action?docID=3563878</t>
  </si>
  <si>
    <t>https://ebookcentral.proquest.com/lib/kyungpook/detail.action?docID=3572275</t>
  </si>
  <si>
    <t>https://ebookcentral.proquest.com/lib/kyungpook/detail.action?docID=4002136</t>
  </si>
  <si>
    <t>https://ebookcentral.proquest.com/lib/kyungpook/detail.action?docID=4034178</t>
  </si>
  <si>
    <t>https://ebookcentral.proquest.com/lib/kyungpook/detail.action?docID=4035676</t>
  </si>
  <si>
    <t>https://ebookcentral.proquest.com/lib/kyungpook/detail.action?docID=4036301</t>
  </si>
  <si>
    <t>https://ebookcentral.proquest.com/lib/kyungpook/detail.action?docID=4036736</t>
  </si>
  <si>
    <t>https://ebookcentral.proquest.com/lib/kyungpook/detail.action?docID=4036738</t>
  </si>
  <si>
    <t>https://ebookcentral.proquest.com/lib/kyungpook/detail.action?docID=4037359</t>
  </si>
  <si>
    <t>https://ebookcentral.proquest.com/lib/kyungpook/detail.action?docID=4038059</t>
  </si>
  <si>
    <t>https://ebookcentral.proquest.com/lib/kyungpook/detail.action?docID=4038118</t>
  </si>
  <si>
    <t>https://ebookcentral.proquest.com/lib/kyungpook/detail.action?docID=4038461</t>
  </si>
  <si>
    <t>https://ebookcentral.proquest.com/lib/kyungpook/detail.action?docID=4038528</t>
  </si>
  <si>
    <t>https://ebookcentral.proquest.com/lib/kyungpook/detail.action?docID=4038665</t>
  </si>
  <si>
    <t>https://ebookcentral.proquest.com/lib/kyungpook/detail.action?docID=4038803</t>
  </si>
  <si>
    <t>https://ebookcentral.proquest.com/lib/kyungpook/detail.action?docID=4039197</t>
  </si>
  <si>
    <t>https://ebookcentral.proquest.com/lib/kyungpook/detail.action?docID=4039553</t>
  </si>
  <si>
    <t>https://ebookcentral.proquest.com/lib/kyungpook/detail.action?docID=4039820</t>
  </si>
  <si>
    <t>https://ebookcentral.proquest.com/lib/kyungpook/detail.action?docID=4040294</t>
  </si>
  <si>
    <t>https://ebookcentral.proquest.com/lib/kyungpook/detail.action?docID=4040883</t>
  </si>
  <si>
    <t>https://ebookcentral.proquest.com/lib/kyungpook/detail.action?docID=4040928</t>
  </si>
  <si>
    <t>https://ebookcentral.proquest.com/lib/kyungpook/detail.action?docID=4041625</t>
  </si>
  <si>
    <t>https://ebookcentral.proquest.com/lib/kyungpook/detail.action?docID=4041627</t>
  </si>
  <si>
    <t>https://ebookcentral.proquest.com/lib/kyungpook/detail.action?docID=4041633</t>
  </si>
  <si>
    <t>https://ebookcentral.proquest.com/lib/kyungpook/detail.action?docID=4041652</t>
  </si>
  <si>
    <t>https://ebookcentral.proquest.com/lib/kyungpook/detail.action?docID=4041664</t>
  </si>
  <si>
    <t>https://ebookcentral.proquest.com/lib/kyungpook/detail.action?docID=4041671</t>
  </si>
  <si>
    <t>https://ebookcentral.proquest.com/lib/kyungpook/detail.action?docID=4041678</t>
  </si>
  <si>
    <t>https://ebookcentral.proquest.com/lib/kyungpook/detail.action?docID=4041690</t>
  </si>
  <si>
    <t>https://ebookcentral.proquest.com/lib/kyungpook/detail.action?docID=4041801</t>
  </si>
  <si>
    <t>https://ebookcentral.proquest.com/lib/kyungpook/detail.action?docID=4041927</t>
  </si>
  <si>
    <t>https://ebookcentral.proquest.com/lib/kyungpook/detail.action?docID=4041948</t>
  </si>
  <si>
    <t>https://ebookcentral.proquest.com/lib/kyungpook/detail.action?docID=4041973</t>
  </si>
  <si>
    <t>https://ebookcentral.proquest.com/lib/kyungpook/detail.action?docID=4042007</t>
  </si>
  <si>
    <t>https://ebookcentral.proquest.com/lib/kyungpook/detail.action?docID=4042018</t>
  </si>
  <si>
    <t>https://ebookcentral.proquest.com/lib/kyungpook/detail.action?docID=4042039</t>
  </si>
  <si>
    <t>https://ebookcentral.proquest.com/lib/kyungpook/detail.action?docID=4042041</t>
  </si>
  <si>
    <t>https://ebookcentral.proquest.com/lib/kyungpook/detail.action?docID=4042046</t>
  </si>
  <si>
    <t>https://ebookcentral.proquest.com/lib/kyungpook/detail.action?docID=4043738</t>
  </si>
  <si>
    <t>https://ebookcentral.proquest.com/lib/kyungpook/detail.action?docID=4043934</t>
  </si>
  <si>
    <t>https://ebookcentral.proquest.com/lib/kyungpook/detail.action?docID=4043944</t>
  </si>
  <si>
    <t>https://ebookcentral.proquest.com/lib/kyungpook/detail.action?docID=4043963</t>
  </si>
  <si>
    <t>https://ebookcentral.proquest.com/lib/kyungpook/detail.action?docID=4083313</t>
  </si>
  <si>
    <t>https://ebookcentral.proquest.com/lib/kyungpook/detail.action?docID=4107585</t>
  </si>
  <si>
    <t>https://ebookcentral.proquest.com/lib/kyungpook/detail.action?docID=4182139</t>
  </si>
  <si>
    <t>https://ebookcentral.proquest.com/lib/kyungpook/detail.action?docID=4307799</t>
  </si>
  <si>
    <t>https://ebookcentral.proquest.com/lib/kyungpook/detail.action?docID=4315716</t>
  </si>
  <si>
    <t>https://ebookcentral.proquest.com/lib/kyungpook/detail.action?docID=4315777</t>
  </si>
  <si>
    <t>https://ebookcentral.proquest.com/lib/kyungpook/detail.action?docID=4316057</t>
  </si>
  <si>
    <t>https://ebookcentral.proquest.com/lib/kyungpook/detail.action?docID=4316766</t>
  </si>
  <si>
    <t>https://ebookcentral.proquest.com/lib/kyungpook/detail.action?docID=4332453</t>
  </si>
  <si>
    <t>https://ebookcentral.proquest.com/lib/kyungpook/detail.action?docID=4352979</t>
  </si>
  <si>
    <t>https://ebookcentral.proquest.com/lib/kyungpook/detail.action?docID=4388625</t>
  </si>
  <si>
    <t>https://ebookcentral.proquest.com/lib/kyungpook/detail.action?docID=4390699</t>
  </si>
  <si>
    <t>https://ebookcentral.proquest.com/lib/kyungpook/detail.action?docID=4390722</t>
  </si>
  <si>
    <t>https://ebookcentral.proquest.com/lib/kyungpook/detail.action?docID=4390734</t>
  </si>
  <si>
    <t>https://ebookcentral.proquest.com/lib/kyungpook/detail.action?docID=4390786</t>
  </si>
  <si>
    <t>https://ebookcentral.proquest.com/lib/kyungpook/detail.action?docID=4390880</t>
  </si>
  <si>
    <t>https://ebookcentral.proquest.com/lib/kyungpook/detail.action?docID=4390883</t>
  </si>
  <si>
    <t>https://ebookcentral.proquest.com/lib/kyungpook/detail.action?docID=4390920</t>
  </si>
  <si>
    <t>https://ebookcentral.proquest.com/lib/kyungpook/detail.action?docID=4392768</t>
  </si>
  <si>
    <t>https://ebookcentral.proquest.com/lib/kyungpook/detail.action?docID=4396375</t>
  </si>
  <si>
    <t>https://ebookcentral.proquest.com/lib/kyungpook/detail.action?docID=4397555</t>
  </si>
  <si>
    <t>https://ebookcentral.proquest.com/lib/kyungpook/detail.action?docID=4397585</t>
  </si>
  <si>
    <t>https://ebookcentral.proquest.com/lib/kyungpook/detail.action?docID=4441487</t>
  </si>
  <si>
    <t>https://ebookcentral.proquest.com/lib/kyungpook/detail.action?docID=4451986</t>
  </si>
  <si>
    <t>https://ebookcentral.proquest.com/lib/kyungpook/detail.action?docID=4452084</t>
  </si>
  <si>
    <t>https://ebookcentral.proquest.com/lib/kyungpook/detail.action?docID=4452165</t>
  </si>
  <si>
    <t>https://ebookcentral.proquest.com/lib/kyungpook/detail.action?docID=4452173</t>
  </si>
  <si>
    <t>https://ebookcentral.proquest.com/lib/kyungpook/detail.action?docID=4452196</t>
  </si>
  <si>
    <t>https://ebookcentral.proquest.com/lib/kyungpook/detail.action?docID=4452239</t>
  </si>
  <si>
    <t>https://ebookcentral.proquest.com/lib/kyungpook/detail.action?docID=4452240</t>
  </si>
  <si>
    <t>https://ebookcentral.proquest.com/lib/kyungpook/detail.action?docID=4512166</t>
  </si>
  <si>
    <t>https://ebookcentral.proquest.com/lib/kyungpook/detail.action?docID=4515718</t>
  </si>
  <si>
    <t>https://ebookcentral.proquest.com/lib/kyungpook/detail.action?docID=4515721</t>
  </si>
  <si>
    <t>https://ebookcentral.proquest.com/lib/kyungpook/detail.action?docID=4520122</t>
  </si>
  <si>
    <t>https://ebookcentral.proquest.com/lib/kyungpook/detail.action?docID=4525874</t>
  </si>
  <si>
    <t>https://ebookcentral.proquest.com/lib/kyungpook/detail.action?docID=4527732</t>
  </si>
  <si>
    <t>https://ebookcentral.proquest.com/lib/kyungpook/detail.action?docID=4540504</t>
  </si>
  <si>
    <t>https://ebookcentral.proquest.com/lib/kyungpook/detail.action?docID=4561849</t>
  </si>
  <si>
    <t>https://ebookcentral.proquest.com/lib/kyungpook/detail.action?docID=4563532</t>
  </si>
  <si>
    <t>https://ebookcentral.proquest.com/lib/kyungpook/detail.action?docID=4570679</t>
  </si>
  <si>
    <t>https://ebookcentral.proquest.com/lib/kyungpook/detail.action?docID=4624993</t>
  </si>
  <si>
    <t>https://ebookcentral.proquest.com/lib/kyungpook/detail.action?docID=4624997</t>
  </si>
  <si>
    <t>https://ebookcentral.proquest.com/lib/kyungpook/detail.action?docID=4634666</t>
  </si>
  <si>
    <t>https://ebookcentral.proquest.com/lib/kyungpook/detail.action?docID=4643545</t>
  </si>
  <si>
    <t>https://ebookcentral.proquest.com/lib/kyungpook/detail.action?docID=4649525</t>
  </si>
  <si>
    <t>https://ebookcentral.proquest.com/lib/kyungpook/detail.action?docID=4660454</t>
  </si>
  <si>
    <t>https://ebookcentral.proquest.com/lib/kyungpook/detail.action?docID=4661498</t>
  </si>
  <si>
    <t>https://ebookcentral.proquest.com/lib/kyungpook/detail.action?docID=4671975</t>
  </si>
  <si>
    <t>https://ebookcentral.proquest.com/lib/kyungpook/detail.action?docID=4672841</t>
  </si>
  <si>
    <t>https://ebookcentral.proquest.com/lib/kyungpook/detail.action?docID=4674267</t>
  </si>
  <si>
    <t>https://ebookcentral.proquest.com/lib/kyungpook/detail.action?docID=4699805</t>
  </si>
  <si>
    <t>https://ebookcentral.proquest.com/lib/kyungpook/detail.action?docID=4699938</t>
  </si>
  <si>
    <t>https://ebookcentral.proquest.com/lib/kyungpook/detail.action?docID=4704492</t>
  </si>
  <si>
    <t>https://ebookcentral.proquest.com/lib/kyungpook/detail.action?docID=4715158</t>
  </si>
  <si>
    <t>https://ebookcentral.proquest.com/lib/kyungpook/detail.action?docID=4727838</t>
  </si>
  <si>
    <t>https://ebookcentral.proquest.com/lib/kyungpook/detail.action?docID=4731143</t>
  </si>
  <si>
    <t>https://ebookcentral.proquest.com/lib/kyungpook/detail.action?docID=4731914</t>
  </si>
  <si>
    <t>https://ebookcentral.proquest.com/lib/kyungpook/detail.action?docID=4732310</t>
  </si>
  <si>
    <t>https://ebookcentral.proquest.com/lib/kyungpook/detail.action?docID=4734083</t>
  </si>
  <si>
    <t>https://ebookcentral.proquest.com/lib/kyungpook/detail.action?docID=4737083</t>
  </si>
  <si>
    <t>https://ebookcentral.proquest.com/lib/kyungpook/detail.action?docID=4751054</t>
  </si>
  <si>
    <t>https://ebookcentral.proquest.com/lib/kyungpook/detail.action?docID=4766600</t>
  </si>
  <si>
    <t>https://ebookcentral.proquest.com/lib/kyungpook/detail.action?docID=4772292</t>
  </si>
  <si>
    <t>https://ebookcentral.proquest.com/lib/kyungpook/detail.action?docID=4773885</t>
  </si>
  <si>
    <t>https://ebookcentral.proquest.com/lib/kyungpook/detail.action?docID=4777260</t>
  </si>
  <si>
    <t>https://ebookcentral.proquest.com/lib/kyungpook/detail.action?docID=4777309</t>
  </si>
  <si>
    <t>https://ebookcentral.proquest.com/lib/kyungpook/detail.action?docID=4790419</t>
  </si>
  <si>
    <t>https://ebookcentral.proquest.com/lib/kyungpook/detail.action?docID=4790483</t>
  </si>
  <si>
    <t>https://ebookcentral.proquest.com/lib/kyungpook/detail.action?docID=4799455</t>
  </si>
  <si>
    <t>https://ebookcentral.proquest.com/lib/kyungpook/detail.action?docID=4807025</t>
  </si>
  <si>
    <t>https://ebookcentral.proquest.com/lib/kyungpook/detail.action?docID=4807035</t>
  </si>
  <si>
    <t>https://ebookcentral.proquest.com/lib/kyungpook/detail.action?docID=4812552</t>
  </si>
  <si>
    <t>https://ebookcentral.proquest.com/lib/kyungpook/detail.action?docID=4819724</t>
  </si>
  <si>
    <t>https://ebookcentral.proquest.com/lib/kyungpook/detail.action?docID=4838367</t>
  </si>
  <si>
    <t>https://ebookcentral.proquest.com/lib/kyungpook/detail.action?docID=4855360</t>
  </si>
  <si>
    <t>https://ebookcentral.proquest.com/lib/kyungpook/detail.action?docID=4857936</t>
  </si>
  <si>
    <t>https://ebookcentral.proquest.com/lib/kyungpook/detail.action?docID=4859147</t>
  </si>
  <si>
    <t>https://ebookcentral.proquest.com/lib/kyungpook/detail.action?docID=4865227</t>
  </si>
  <si>
    <t>https://ebookcentral.proquest.com/lib/kyungpook/detail.action?docID=4867986</t>
  </si>
  <si>
    <t>https://ebookcentral.proquest.com/lib/kyungpook/detail.action?docID=4870992</t>
  </si>
  <si>
    <t>https://ebookcentral.proquest.com/lib/kyungpook/detail.action?docID=4876937</t>
  </si>
  <si>
    <t>https://ebookcentral.proquest.com/lib/kyungpook/detail.action?docID=4876938</t>
  </si>
  <si>
    <t>https://ebookcentral.proquest.com/lib/kyungpook/detail.action?docID=4876944</t>
  </si>
  <si>
    <t>https://ebookcentral.proquest.com/lib/kyungpook/detail.action?docID=4877395</t>
  </si>
  <si>
    <t>https://ebookcentral.proquest.com/lib/kyungpook/detail.action?docID=4908623</t>
  </si>
  <si>
    <t>https://ebookcentral.proquest.com/lib/kyungpook/detail.action?docID=4909986</t>
  </si>
  <si>
    <t>https://ebookcentral.proquest.com/lib/kyungpook/detail.action?docID=4935583</t>
  </si>
  <si>
    <t>https://ebookcentral.proquest.com/lib/kyungpook/detail.action?docID=4947022</t>
  </si>
  <si>
    <t>https://ebookcentral.proquest.com/lib/kyungpook/detail.action?docID=4985939</t>
  </si>
  <si>
    <t>https://ebookcentral.proquest.com/lib/kyungpook/detail.action?docID=5024420</t>
  </si>
  <si>
    <t>https://ebookcentral.proquest.com/lib/kyungpook/detail.action?docID=5089203</t>
  </si>
  <si>
    <t>https://ebookcentral.proquest.com/lib/kyungpook/detail.action?docID=5100745</t>
  </si>
  <si>
    <t>https://ebookcentral.proquest.com/lib/kyungpook/detail.action?docID=5118016</t>
  </si>
  <si>
    <t>https://ebookcentral.proquest.com/lib/kyungpook/detail.action?docID=5173463</t>
  </si>
  <si>
    <t>https://ebookcentral.proquest.com/lib/kyungpook/detail.action?docID=5177862</t>
  </si>
  <si>
    <t>https://ebookcentral.proquest.com/lib/kyungpook/detail.action?docID=5181124</t>
  </si>
  <si>
    <t>https://ebookcentral.proquest.com/lib/kyungpook/detail.action?docID=5192499</t>
  </si>
  <si>
    <t>https://ebookcentral.proquest.com/lib/kyungpook/detail.action?docID=5200569</t>
  </si>
  <si>
    <t>https://ebookcentral.proquest.com/lib/kyungpook/detail.action?docID=5210525</t>
  </si>
  <si>
    <t>https://ebookcentral.proquest.com/lib/kyungpook/detail.action?docID=5228949</t>
  </si>
  <si>
    <t>https://ebookcentral.proquest.com/lib/kyungpook/detail.action?docID=5253404</t>
  </si>
  <si>
    <t>https://ebookcentral.proquest.com/lib/kyungpook/detail.action?docID=5254211</t>
  </si>
  <si>
    <t>https://ebookcentral.proquest.com/lib/kyungpook/detail.action?docID=5302460</t>
  </si>
  <si>
    <t>https://ebookcentral.proquest.com/lib/kyungpook/detail.action?docID=5302463</t>
  </si>
  <si>
    <t>https://ebookcentral.proquest.com/lib/kyungpook/detail.action?docID=5314390</t>
  </si>
  <si>
    <t>https://ebookcentral.proquest.com/lib/kyungpook/detail.action?docID=5325559</t>
  </si>
  <si>
    <t>https://ebookcentral.proquest.com/lib/kyungpook/detail.action?docID=5331635</t>
  </si>
  <si>
    <t>https://ebookcentral.proquest.com/lib/kyungpook/detail.action?docID=5389943</t>
  </si>
  <si>
    <t>https://ebookcentral.proquest.com/lib/kyungpook/detail.action?docID=5408081</t>
  </si>
  <si>
    <t>https://ebookcentral.proquest.com/lib/kyungpook/detail.action?docID=5428255</t>
  </si>
  <si>
    <t>https://ebookcentral.proquest.com/lib/kyungpook/detail.action?docID=5431172</t>
  </si>
  <si>
    <t>https://ebookcentral.proquest.com/lib/kyungpook/detail.action?docID=5477619</t>
  </si>
  <si>
    <t>https://ebookcentral.proquest.com/lib/kyungpook/detail.action?docID=5491663</t>
  </si>
  <si>
    <t>https://ebookcentral.proquest.com/lib/kyungpook/detail.action?docID=5493342</t>
  </si>
  <si>
    <t>https://ebookcentral.proquest.com/lib/kyungpook/detail.action?docID=5495393</t>
  </si>
  <si>
    <t>https://ebookcentral.proquest.com/lib/kyungpook/detail.action?docID=5508330</t>
  </si>
  <si>
    <t>https://ebookcentral.proquest.com/lib/kyungpook/detail.action?docID=5514687</t>
  </si>
  <si>
    <t>https://ebookcentral.proquest.com/lib/kyungpook/detail.action?docID=5514703</t>
  </si>
  <si>
    <t>https://ebookcentral.proquest.com/lib/kyungpook/detail.action?docID=5520094</t>
  </si>
  <si>
    <t>https://ebookcentral.proquest.com/lib/kyungpook/detail.action?docID=5527144</t>
  </si>
  <si>
    <t>https://ebookcentral.proquest.com/lib/kyungpook/detail.action?docID=5532024</t>
  </si>
  <si>
    <t>https://ebookcentral.proquest.com/lib/kyungpook/detail.action?docID=5557357</t>
  </si>
  <si>
    <t>https://ebookcentral.proquest.com/lib/kyungpook/detail.action?docID=5558997</t>
  </si>
  <si>
    <t>https://ebookcentral.proquest.com/lib/kyungpook/detail.action?docID=5559990</t>
  </si>
  <si>
    <t>https://ebookcentral.proquest.com/lib/kyungpook/detail.action?docID=5570569</t>
  </si>
  <si>
    <t>https://ebookcentral.proquest.com/lib/kyungpook/detail.action?docID=5570713</t>
  </si>
  <si>
    <t>https://ebookcentral.proquest.com/lib/kyungpook/detail.action?docID=5597645</t>
  </si>
  <si>
    <t>https://ebookcentral.proquest.com/lib/kyungpook/detail.action?docID=5598089</t>
  </si>
  <si>
    <t>https://ebookcentral.proquest.com/lib/kyungpook/detail.action?docID=5607591</t>
  </si>
  <si>
    <t>https://ebookcentral.proquest.com/lib/kyungpook/detail.action?docID=5611101</t>
  </si>
  <si>
    <t>https://ebookcentral.proquest.com/lib/kyungpook/detail.action?docID=5612823</t>
  </si>
  <si>
    <t>https://ebookcentral.proquest.com/lib/kyungpook/detail.action?docID=5629289</t>
  </si>
  <si>
    <t>https://ebookcentral.proquest.com/lib/kyungpook/detail.action?docID=5716556</t>
  </si>
  <si>
    <t>https://ebookcentral.proquest.com/lib/kyungpook/detail.action?docID=5716777</t>
  </si>
  <si>
    <t>https://ebookcentral.proquest.com/lib/kyungpook/detail.action?docID=5725505</t>
  </si>
  <si>
    <t>https://ebookcentral.proquest.com/lib/kyungpook/detail.action?docID=5725512</t>
  </si>
  <si>
    <t>https://ebookcentral.proquest.com/lib/kyungpook/detail.action?docID=5733106</t>
  </si>
  <si>
    <t>https://ebookcentral.proquest.com/lib/kyungpook/detail.action?docID=5741463</t>
  </si>
  <si>
    <t>https://ebookcentral.proquest.com/lib/kyungpook/detail.action?docID=5742367</t>
  </si>
  <si>
    <t>https://ebookcentral.proquest.com/lib/kyungpook/detail.action?docID=5760529</t>
  </si>
  <si>
    <t>https://ebookcentral.proquest.com/lib/kyungpook/detail.action?docID=5772346</t>
  </si>
  <si>
    <t>https://ebookcentral.proquest.com/lib/kyungpook/detail.action?docID=5790645</t>
  </si>
  <si>
    <t>https://ebookcentral.proquest.com/lib/kyungpook/detail.action?docID=5797077</t>
  </si>
  <si>
    <t>https://ebookcentral.proquest.com/lib/kyungpook/detail.action?docID=5829231</t>
  </si>
  <si>
    <t>https://ebookcentral.proquest.com/lib/kyungpook/detail.action?docID=5841221</t>
  </si>
  <si>
    <t>https://ebookcentral.proquest.com/lib/kyungpook/detail.action?docID=5845651</t>
  </si>
  <si>
    <t>https://ebookcentral.proquest.com/lib/kyungpook/detail.action?docID=5890287</t>
  </si>
  <si>
    <t>https://ebookcentral.proquest.com/lib/kyungpook/detail.action?docID=5928812</t>
  </si>
  <si>
    <t>https://ebookcentral.proquest.com/lib/kyungpook/detail.action?docID=5939409</t>
  </si>
  <si>
    <t>https://ebookcentral.proquest.com/lib/kyungpook/detail.action?docID=5944633</t>
  </si>
  <si>
    <t>https://ebookcentral.proquest.com/lib/kyungpook/detail.action?docID=5945871</t>
  </si>
  <si>
    <t>https://ebookcentral.proquest.com/lib/kyungpook/detail.action?docID=5965808</t>
  </si>
  <si>
    <t>https://ebookcentral.proquest.com/lib/kyungpook/detail.action?docID=5973423</t>
  </si>
  <si>
    <t>https://ebookcentral.proquest.com/lib/kyungpook/detail.action?docID=5973894</t>
  </si>
  <si>
    <t>https://ebookcentral.proquest.com/lib/kyungpook/detail.action?docID=5974329</t>
  </si>
  <si>
    <t>https://ebookcentral.proquest.com/lib/kyungpook/detail.action?docID=6010908</t>
  </si>
  <si>
    <t>https://ebookcentral.proquest.com/lib/kyungpook/detail.action?docID=6122292</t>
  </si>
  <si>
    <t>https://ebookcentral.proquest.com/lib/kyungpook/detail.action?docID=6144144</t>
  </si>
  <si>
    <t>https://ebookcentral.proquest.com/lib/kyungpook/detail.action?docID=6178487</t>
  </si>
  <si>
    <t>https://ebookcentral.proquest.com/lib/kyungpook/detail.action?docID=6207170</t>
  </si>
  <si>
    <t>https://ebookcentral.proquest.com/lib/kyungpook/detail.action?docID=6261157</t>
  </si>
  <si>
    <t>https://ebookcentral.proquest.com/lib/kyungpook/detail.action?docID=6269761</t>
  </si>
  <si>
    <t>https://ebookcentral.proquest.com/lib/kyungpook/detail.action?docID=6276021</t>
  </si>
  <si>
    <t>https://ebookcentral.proquest.com/lib/kyungpook/detail.action?docID=6280628</t>
  </si>
  <si>
    <t>https://ebookcentral.proquest.com/lib/kyungpook/detail.action?docID=6299727</t>
  </si>
  <si>
    <t>https://ebookcentral.proquest.com/lib/kyungpook/detail.action?docID=6356773</t>
  </si>
  <si>
    <t>https://ebookcentral.proquest.com/lib/kyungpook/detail.action?docID=6370349</t>
  </si>
  <si>
    <t>https://ebookcentral.proquest.com/lib/kyungpook/detail.action?docID=6376668</t>
  </si>
  <si>
    <t>https://ebookcentral.proquest.com/lib/kyungpook/detail.action?docID=6401997</t>
  </si>
  <si>
    <t>https://ebookcentral.proquest.com/lib/kyungpook/detail.action?docID=6457977</t>
  </si>
  <si>
    <t>https://ebookcentral.proquest.com/lib/kyungpook/detail.action?docID=6457981</t>
  </si>
  <si>
    <t>https://ebookcentral.proquest.com/lib/kyungpook/detail.action?docID=6457985</t>
  </si>
  <si>
    <t>https://ebookcentral.proquest.com/lib/kyungpook/detail.action?docID=6457989</t>
  </si>
  <si>
    <t>https://ebookcentral.proquest.com/lib/kyungpook/detail.action?docID=6471514</t>
  </si>
  <si>
    <t>https://ebookcentral.proquest.com/lib/kyungpook/detail.action?docID=6476814</t>
  </si>
  <si>
    <t>https://ebookcentral.proquest.com/lib/kyungpook/detail.action?docID=6528153</t>
  </si>
  <si>
    <t>https://ebookcentral.proquest.com/lib/kyungpook/detail.action?docID=6552362</t>
  </si>
  <si>
    <t>https://ebookcentral.proquest.com/lib/kyungpook/detail.action?docID=6552365</t>
  </si>
  <si>
    <t>https://ebookcentral.proquest.com/lib/kyungpook/detail.action?docID=6561639</t>
  </si>
  <si>
    <t>https://ebookcentral.proquest.com/lib/kyungpook/detail.action?docID=6647706</t>
  </si>
  <si>
    <t>https://ebookcentral.proquest.com/lib/kyungpook/detail.action?docID=6676915</t>
  </si>
  <si>
    <t>https://ebookcentral.proquest.com/lib/kyungpook/detail.action?docID=6690683</t>
  </si>
  <si>
    <t>https://ebookcentral.proquest.com/lib/kyungpook/detail.action?docID=6720711</t>
  </si>
  <si>
    <t>https://ebookcentral.proquest.com/lib/kyungpook/detail.action?docID=6795419</t>
  </si>
  <si>
    <t>https://ebookcentral.proquest.com/lib/kyungpook/detail.action?docID=6825092</t>
  </si>
  <si>
    <t>https://ebookcentral.proquest.com/lib/kyungpook/detail.action?docID=6829394</t>
  </si>
  <si>
    <t>https://ebookcentral.proquest.com/lib/kyungpook/detail.action?docID=6829395</t>
  </si>
  <si>
    <t>https://ebookcentral.proquest.com/lib/kyungpook/detail.action?docID=6829406</t>
  </si>
  <si>
    <t>https://ebookcentral.proquest.com/lib/kyungpook/detail.action?docID=6845783</t>
  </si>
  <si>
    <t>https://ebookcentral.proquest.com/lib/kyungpook/detail.action?docID=6882225</t>
  </si>
  <si>
    <t>https://ebookcentral.proquest.com/lib/kyungpook/detail.action?docID=6886447</t>
  </si>
  <si>
    <t>https://ebookcentral.proquest.com/lib/kyungpook/detail.action?docID=6944050</t>
  </si>
  <si>
    <t>https://ebookcentral.proquest.com/lib/kyungpook/detail.action?docID=6984922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</si>
</sst>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57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0"/>
      <color theme="1"/>
      <name val="Calibri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/>
    <xf numFmtId="0" fontId="18" fillId="0" borderId="0" xfId="0" applyFont="1"/>
    <xf numFmtId="0" fontId="18" fillId="0" borderId="10" xfId="0" applyFont="1" applyBorder="1"/>
    <xf numFmtId="14" fontId="18" fillId="0" borderId="10" xfId="0" applyNumberFormat="1" applyFont="1" applyBorder="1"/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5"/>
  <sheetViews>
    <sheetView tabSelected="1" topLeftCell="B1" workbookViewId="0">
      <selection activeCell="Q2" sqref="Q2"/>
    </sheetView>
  </sheetViews>
  <sheetFormatPr defaultRowHeight="13"/>
  <cols>
    <col min="1" max="1" width="8.81640625" style="2" bestFit="1" customWidth="1"/>
    <col min="2" max="6" width="8.7265625" style="2"/>
    <col min="7" max="7" width="9.1796875" style="2" bestFit="1" customWidth="1"/>
    <col min="8" max="8" width="8.7265625" style="2"/>
    <col min="9" max="10" width="8.81640625" style="2" bestFit="1" customWidth="1"/>
    <col min="11" max="13" width="8.7265625" style="2"/>
    <col min="14" max="14" width="8.81640625" style="2" bestFit="1" customWidth="1"/>
    <col min="15" max="16384" width="8.7265625" style="2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>
        <v>179196</v>
      </c>
      <c r="B2" s="3" t="s">
        <v>17</v>
      </c>
      <c r="C2" s="3" t="str">
        <f>"9780415056373"</f>
        <v>9780415056373</v>
      </c>
      <c r="D2" s="3" t="str">
        <f>"9780203167885"</f>
        <v>9780203167885</v>
      </c>
      <c r="E2" s="3" t="s">
        <v>18</v>
      </c>
      <c r="F2" s="3" t="s">
        <v>19</v>
      </c>
      <c r="G2" s="4">
        <v>33276</v>
      </c>
      <c r="H2" s="3" t="s">
        <v>20</v>
      </c>
      <c r="I2" s="3">
        <v>1</v>
      </c>
      <c r="J2" s="3"/>
      <c r="K2" s="3" t="s">
        <v>21</v>
      </c>
      <c r="L2" s="3" t="s">
        <v>22</v>
      </c>
      <c r="M2" s="3" t="s">
        <v>23</v>
      </c>
      <c r="N2" s="3">
        <v>821.3</v>
      </c>
      <c r="O2" s="3" t="s">
        <v>24</v>
      </c>
      <c r="P2" s="3" t="s">
        <v>25</v>
      </c>
      <c r="Q2" s="3" t="s">
        <v>4617</v>
      </c>
    </row>
    <row r="3" spans="1:17">
      <c r="A3" s="3">
        <v>200868</v>
      </c>
      <c r="B3" s="3" t="s">
        <v>26</v>
      </c>
      <c r="C3" s="3" t="str">
        <f>"9780824063412"</f>
        <v>9780824063412</v>
      </c>
      <c r="D3" s="3" t="str">
        <f>"9780203642276"</f>
        <v>9780203642276</v>
      </c>
      <c r="E3" s="3" t="s">
        <v>18</v>
      </c>
      <c r="F3" s="3" t="s">
        <v>19</v>
      </c>
      <c r="G3" s="4">
        <v>34700</v>
      </c>
      <c r="H3" s="3" t="s">
        <v>20</v>
      </c>
      <c r="I3" s="3">
        <v>1</v>
      </c>
      <c r="J3" s="3"/>
      <c r="K3" s="3" t="s">
        <v>27</v>
      </c>
      <c r="L3" s="3" t="s">
        <v>22</v>
      </c>
      <c r="M3" s="3" t="s">
        <v>28</v>
      </c>
      <c r="N3" s="3" t="s">
        <v>29</v>
      </c>
      <c r="O3" s="3" t="s">
        <v>30</v>
      </c>
      <c r="P3" s="3" t="s">
        <v>25</v>
      </c>
      <c r="Q3" s="3" t="s">
        <v>4618</v>
      </c>
    </row>
    <row r="4" spans="1:17">
      <c r="A4" s="3">
        <v>214153</v>
      </c>
      <c r="B4" s="3" t="s">
        <v>31</v>
      </c>
      <c r="C4" s="3" t="str">
        <f>"9780631231936"</f>
        <v>9780631231936</v>
      </c>
      <c r="D4" s="3" t="str">
        <f>"9781405128834"</f>
        <v>9781405128834</v>
      </c>
      <c r="E4" s="3" t="s">
        <v>32</v>
      </c>
      <c r="F4" s="3" t="s">
        <v>33</v>
      </c>
      <c r="G4" s="4">
        <v>38030</v>
      </c>
      <c r="H4" s="3" t="s">
        <v>20</v>
      </c>
      <c r="I4" s="3">
        <v>1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25</v>
      </c>
      <c r="Q4" s="3" t="s">
        <v>4619</v>
      </c>
    </row>
    <row r="5" spans="1:17">
      <c r="A5" s="3">
        <v>221097</v>
      </c>
      <c r="B5" s="3" t="s">
        <v>40</v>
      </c>
      <c r="C5" s="3" t="str">
        <f>"9780521783002"</f>
        <v>9780521783002</v>
      </c>
      <c r="D5" s="3" t="str">
        <f>"9780511202889"</f>
        <v>9780511202889</v>
      </c>
      <c r="E5" s="3" t="s">
        <v>41</v>
      </c>
      <c r="F5" s="3" t="s">
        <v>41</v>
      </c>
      <c r="G5" s="4">
        <v>37602</v>
      </c>
      <c r="H5" s="3" t="s">
        <v>20</v>
      </c>
      <c r="I5" s="3"/>
      <c r="J5" s="3"/>
      <c r="K5" s="3" t="s">
        <v>42</v>
      </c>
      <c r="L5" s="3" t="s">
        <v>43</v>
      </c>
      <c r="M5" s="3" t="s">
        <v>44</v>
      </c>
      <c r="N5" s="3" t="s">
        <v>45</v>
      </c>
      <c r="O5" s="3" t="s">
        <v>46</v>
      </c>
      <c r="P5" s="3" t="s">
        <v>25</v>
      </c>
      <c r="Q5" s="3" t="s">
        <v>4620</v>
      </c>
    </row>
    <row r="6" spans="1:17">
      <c r="A6" s="3">
        <v>228305</v>
      </c>
      <c r="B6" s="3" t="s">
        <v>47</v>
      </c>
      <c r="C6" s="3" t="str">
        <f>"9780521812535"</f>
        <v>9780521812535</v>
      </c>
      <c r="D6" s="3" t="str">
        <f>"9780511197598"</f>
        <v>9780511197598</v>
      </c>
      <c r="E6" s="3" t="s">
        <v>41</v>
      </c>
      <c r="F6" s="3" t="s">
        <v>41</v>
      </c>
      <c r="G6" s="4">
        <v>38456</v>
      </c>
      <c r="H6" s="3" t="s">
        <v>20</v>
      </c>
      <c r="I6" s="3"/>
      <c r="J6" s="3"/>
      <c r="K6" s="3" t="s">
        <v>48</v>
      </c>
      <c r="L6" s="3" t="s">
        <v>49</v>
      </c>
      <c r="M6" s="3" t="s">
        <v>50</v>
      </c>
      <c r="N6" s="3">
        <v>595.71650917320005</v>
      </c>
      <c r="O6" s="3" t="s">
        <v>51</v>
      </c>
      <c r="P6" s="3" t="s">
        <v>25</v>
      </c>
      <c r="Q6" s="3" t="s">
        <v>4621</v>
      </c>
    </row>
    <row r="7" spans="1:17">
      <c r="A7" s="3">
        <v>233005</v>
      </c>
      <c r="B7" s="3" t="s">
        <v>52</v>
      </c>
      <c r="C7" s="3" t="str">
        <f>"9781405164221"</f>
        <v>9781405164221</v>
      </c>
      <c r="D7" s="3" t="str">
        <f>"9781405144667"</f>
        <v>9781405144667</v>
      </c>
      <c r="E7" s="3" t="s">
        <v>32</v>
      </c>
      <c r="F7" s="3" t="s">
        <v>33</v>
      </c>
      <c r="G7" s="4">
        <v>39504</v>
      </c>
      <c r="H7" s="3" t="s">
        <v>20</v>
      </c>
      <c r="I7" s="3">
        <v>1</v>
      </c>
      <c r="J7" s="3" t="s">
        <v>34</v>
      </c>
      <c r="K7" s="3" t="s">
        <v>53</v>
      </c>
      <c r="L7" s="3" t="s">
        <v>36</v>
      </c>
      <c r="M7" s="3" t="s">
        <v>54</v>
      </c>
      <c r="N7" s="3">
        <v>658.3</v>
      </c>
      <c r="O7" s="3" t="s">
        <v>55</v>
      </c>
      <c r="P7" s="3" t="s">
        <v>25</v>
      </c>
      <c r="Q7" s="3" t="s">
        <v>4622</v>
      </c>
    </row>
    <row r="8" spans="1:17">
      <c r="A8" s="3">
        <v>239820</v>
      </c>
      <c r="B8" s="3" t="s">
        <v>56</v>
      </c>
      <c r="C8" s="3" t="str">
        <f>"9780631235736"</f>
        <v>9780631235736</v>
      </c>
      <c r="D8" s="3" t="str">
        <f>"9781405148863"</f>
        <v>9781405148863</v>
      </c>
      <c r="E8" s="3" t="s">
        <v>32</v>
      </c>
      <c r="F8" s="3" t="s">
        <v>33</v>
      </c>
      <c r="G8" s="4">
        <v>38674</v>
      </c>
      <c r="H8" s="3" t="s">
        <v>20</v>
      </c>
      <c r="I8" s="3">
        <v>1</v>
      </c>
      <c r="J8" s="3"/>
      <c r="K8" s="3" t="s">
        <v>57</v>
      </c>
      <c r="L8" s="3" t="s">
        <v>58</v>
      </c>
      <c r="M8" s="3" t="s">
        <v>59</v>
      </c>
      <c r="N8" s="3">
        <v>930.1</v>
      </c>
      <c r="O8" s="3" t="s">
        <v>60</v>
      </c>
      <c r="P8" s="3" t="s">
        <v>25</v>
      </c>
      <c r="Q8" s="3" t="s">
        <v>4623</v>
      </c>
    </row>
    <row r="9" spans="1:17">
      <c r="A9" s="3">
        <v>244010</v>
      </c>
      <c r="B9" s="3" t="s">
        <v>61</v>
      </c>
      <c r="C9" s="3" t="str">
        <f>"9780521826327"</f>
        <v>9780521826327</v>
      </c>
      <c r="D9" s="3" t="str">
        <f>"9780511201233"</f>
        <v>9780511201233</v>
      </c>
      <c r="E9" s="3" t="s">
        <v>41</v>
      </c>
      <c r="F9" s="3" t="s">
        <v>41</v>
      </c>
      <c r="G9" s="4">
        <v>38687</v>
      </c>
      <c r="H9" s="3" t="s">
        <v>20</v>
      </c>
      <c r="I9" s="3"/>
      <c r="J9" s="3" t="s">
        <v>62</v>
      </c>
      <c r="K9" s="3" t="s">
        <v>63</v>
      </c>
      <c r="L9" s="3" t="s">
        <v>64</v>
      </c>
      <c r="M9" s="3" t="s">
        <v>65</v>
      </c>
      <c r="N9" s="3">
        <v>305.26</v>
      </c>
      <c r="O9" s="3" t="s">
        <v>66</v>
      </c>
      <c r="P9" s="3" t="s">
        <v>25</v>
      </c>
      <c r="Q9" s="3" t="s">
        <v>4624</v>
      </c>
    </row>
    <row r="10" spans="1:17">
      <c r="A10" s="3">
        <v>244078</v>
      </c>
      <c r="B10" s="3" t="s">
        <v>67</v>
      </c>
      <c r="C10" s="3" t="str">
        <f>"9780521856591"</f>
        <v>9780521856591</v>
      </c>
      <c r="D10" s="3" t="str">
        <f>"9780511201868"</f>
        <v>9780511201868</v>
      </c>
      <c r="E10" s="3" t="s">
        <v>41</v>
      </c>
      <c r="F10" s="3" t="s">
        <v>41</v>
      </c>
      <c r="G10" s="4">
        <v>38721</v>
      </c>
      <c r="H10" s="3" t="s">
        <v>20</v>
      </c>
      <c r="I10" s="3"/>
      <c r="J10" s="3"/>
      <c r="K10" s="3" t="s">
        <v>68</v>
      </c>
      <c r="L10" s="3" t="s">
        <v>43</v>
      </c>
      <c r="M10" s="3" t="s">
        <v>69</v>
      </c>
      <c r="N10" s="3" t="s">
        <v>70</v>
      </c>
      <c r="O10" s="3" t="s">
        <v>71</v>
      </c>
      <c r="P10" s="3" t="s">
        <v>25</v>
      </c>
      <c r="Q10" s="3" t="s">
        <v>4625</v>
      </c>
    </row>
    <row r="11" spans="1:17">
      <c r="A11" s="3">
        <v>254986</v>
      </c>
      <c r="B11" s="3" t="s">
        <v>72</v>
      </c>
      <c r="C11" s="3" t="str">
        <f>"9780521838429"</f>
        <v>9780521838429</v>
      </c>
      <c r="D11" s="3" t="str">
        <f>"9780511145759"</f>
        <v>9780511145759</v>
      </c>
      <c r="E11" s="3" t="s">
        <v>41</v>
      </c>
      <c r="F11" s="3" t="s">
        <v>41</v>
      </c>
      <c r="G11" s="4">
        <v>38810</v>
      </c>
      <c r="H11" s="3" t="s">
        <v>20</v>
      </c>
      <c r="I11" s="3"/>
      <c r="J11" s="3"/>
      <c r="K11" s="3" t="s">
        <v>73</v>
      </c>
      <c r="L11" s="3" t="s">
        <v>74</v>
      </c>
      <c r="M11" s="3" t="s">
        <v>75</v>
      </c>
      <c r="N11" s="3">
        <v>153.35</v>
      </c>
      <c r="O11" s="3" t="s">
        <v>76</v>
      </c>
      <c r="P11" s="3" t="s">
        <v>25</v>
      </c>
      <c r="Q11" s="3" t="s">
        <v>4626</v>
      </c>
    </row>
    <row r="12" spans="1:17">
      <c r="A12" s="3">
        <v>256635</v>
      </c>
      <c r="B12" s="3" t="s">
        <v>77</v>
      </c>
      <c r="C12" s="3" t="str">
        <f>"9780521544153"</f>
        <v>9780521544153</v>
      </c>
      <c r="D12" s="3" t="str">
        <f>"9780511187124"</f>
        <v>9780511187124</v>
      </c>
      <c r="E12" s="3" t="s">
        <v>41</v>
      </c>
      <c r="F12" s="3" t="s">
        <v>41</v>
      </c>
      <c r="G12" s="4">
        <v>38029</v>
      </c>
      <c r="H12" s="3" t="s">
        <v>20</v>
      </c>
      <c r="I12" s="3">
        <v>3</v>
      </c>
      <c r="J12" s="3"/>
      <c r="K12" s="3" t="s">
        <v>78</v>
      </c>
      <c r="L12" s="3" t="s">
        <v>79</v>
      </c>
      <c r="M12" s="3" t="s">
        <v>80</v>
      </c>
      <c r="N12" s="3">
        <v>523.79999999999995</v>
      </c>
      <c r="O12" s="3" t="s">
        <v>81</v>
      </c>
      <c r="P12" s="3" t="s">
        <v>25</v>
      </c>
      <c r="Q12" s="3" t="s">
        <v>4627</v>
      </c>
    </row>
    <row r="13" spans="1:17">
      <c r="A13" s="3">
        <v>256877</v>
      </c>
      <c r="B13" s="3" t="s">
        <v>82</v>
      </c>
      <c r="C13" s="3" t="str">
        <f>"9780415143448"</f>
        <v>9780415143448</v>
      </c>
      <c r="D13" s="3" t="str">
        <f>"9780203996348"</f>
        <v>9780203996348</v>
      </c>
      <c r="E13" s="3" t="s">
        <v>18</v>
      </c>
      <c r="F13" s="3" t="s">
        <v>19</v>
      </c>
      <c r="G13" s="4">
        <v>37239</v>
      </c>
      <c r="H13" s="3" t="s">
        <v>20</v>
      </c>
      <c r="I13" s="3"/>
      <c r="J13" s="3" t="s">
        <v>83</v>
      </c>
      <c r="K13" s="3" t="s">
        <v>84</v>
      </c>
      <c r="L13" s="3" t="s">
        <v>58</v>
      </c>
      <c r="M13" s="3" t="s">
        <v>85</v>
      </c>
      <c r="N13" s="3" t="s">
        <v>86</v>
      </c>
      <c r="O13" s="3" t="s">
        <v>87</v>
      </c>
      <c r="P13" s="3" t="s">
        <v>25</v>
      </c>
      <c r="Q13" s="3" t="s">
        <v>4628</v>
      </c>
    </row>
    <row r="14" spans="1:17">
      <c r="A14" s="3">
        <v>258492</v>
      </c>
      <c r="B14" s="3" t="s">
        <v>88</v>
      </c>
      <c r="C14" s="3" t="str">
        <f>"9780521834018"</f>
        <v>9780521834018</v>
      </c>
      <c r="D14" s="3" t="str">
        <f>"9780511160103"</f>
        <v>9780511160103</v>
      </c>
      <c r="E14" s="3" t="s">
        <v>41</v>
      </c>
      <c r="F14" s="3" t="s">
        <v>41</v>
      </c>
      <c r="G14" s="4">
        <v>38523</v>
      </c>
      <c r="H14" s="3" t="s">
        <v>20</v>
      </c>
      <c r="I14" s="3"/>
      <c r="J14" s="3"/>
      <c r="K14" s="3" t="s">
        <v>89</v>
      </c>
      <c r="L14" s="3" t="s">
        <v>90</v>
      </c>
      <c r="M14" s="3" t="s">
        <v>91</v>
      </c>
      <c r="N14" s="3" t="s">
        <v>92</v>
      </c>
      <c r="O14" s="3" t="s">
        <v>93</v>
      </c>
      <c r="P14" s="3" t="s">
        <v>25</v>
      </c>
      <c r="Q14" s="3" t="s">
        <v>4629</v>
      </c>
    </row>
    <row r="15" spans="1:17">
      <c r="A15" s="3">
        <v>263119</v>
      </c>
      <c r="B15" s="3" t="s">
        <v>94</v>
      </c>
      <c r="C15" s="3" t="str">
        <f>"9781584880530"</f>
        <v>9781584880530</v>
      </c>
      <c r="D15" s="3" t="str">
        <f>"9781420037760"</f>
        <v>9781420037760</v>
      </c>
      <c r="E15" s="3" t="s">
        <v>18</v>
      </c>
      <c r="F15" s="3" t="s">
        <v>95</v>
      </c>
      <c r="G15" s="4">
        <v>37558</v>
      </c>
      <c r="H15" s="3" t="s">
        <v>20</v>
      </c>
      <c r="I15" s="3">
        <v>1</v>
      </c>
      <c r="J15" s="3"/>
      <c r="K15" s="3" t="s">
        <v>96</v>
      </c>
      <c r="L15" s="3" t="s">
        <v>97</v>
      </c>
      <c r="M15" s="3" t="s">
        <v>98</v>
      </c>
      <c r="N15" s="3" t="s">
        <v>99</v>
      </c>
      <c r="O15" s="3" t="s">
        <v>97</v>
      </c>
      <c r="P15" s="3" t="s">
        <v>25</v>
      </c>
      <c r="Q15" s="3" t="s">
        <v>4630</v>
      </c>
    </row>
    <row r="16" spans="1:17">
      <c r="A16" s="3">
        <v>269808</v>
      </c>
      <c r="B16" s="3" t="s">
        <v>100</v>
      </c>
      <c r="C16" s="3" t="str">
        <f>"9780444503404"</f>
        <v>9780444503404</v>
      </c>
      <c r="D16" s="3" t="str">
        <f>"9780080462653"</f>
        <v>9780080462653</v>
      </c>
      <c r="E16" s="3" t="s">
        <v>101</v>
      </c>
      <c r="F16" s="3" t="s">
        <v>102</v>
      </c>
      <c r="G16" s="4">
        <v>38687</v>
      </c>
      <c r="H16" s="3" t="s">
        <v>20</v>
      </c>
      <c r="I16" s="3">
        <v>1</v>
      </c>
      <c r="J16" s="3">
        <v>0</v>
      </c>
      <c r="K16" s="3" t="s">
        <v>103</v>
      </c>
      <c r="L16" s="3" t="s">
        <v>43</v>
      </c>
      <c r="M16" s="3" t="s">
        <v>104</v>
      </c>
      <c r="N16" s="3">
        <v>709</v>
      </c>
      <c r="O16" s="3" t="s">
        <v>105</v>
      </c>
      <c r="P16" s="3" t="s">
        <v>25</v>
      </c>
      <c r="Q16" s="3" t="s">
        <v>4631</v>
      </c>
    </row>
    <row r="17" spans="1:17">
      <c r="A17" s="3">
        <v>274870</v>
      </c>
      <c r="B17" s="3" t="s">
        <v>106</v>
      </c>
      <c r="C17" s="3" t="str">
        <f>"9780521860390"</f>
        <v>9780521860390</v>
      </c>
      <c r="D17" s="3" t="str">
        <f>"9780511244735"</f>
        <v>9780511244735</v>
      </c>
      <c r="E17" s="3" t="s">
        <v>41</v>
      </c>
      <c r="F17" s="3" t="s">
        <v>41</v>
      </c>
      <c r="G17" s="4">
        <v>38946</v>
      </c>
      <c r="H17" s="3" t="s">
        <v>20</v>
      </c>
      <c r="I17" s="3">
        <v>3</v>
      </c>
      <c r="J17" s="3"/>
      <c r="K17" s="3" t="s">
        <v>107</v>
      </c>
      <c r="L17" s="3" t="s">
        <v>97</v>
      </c>
      <c r="M17" s="3" t="s">
        <v>108</v>
      </c>
      <c r="N17" s="3">
        <v>519.50300000000004</v>
      </c>
      <c r="O17" s="3" t="s">
        <v>109</v>
      </c>
      <c r="P17" s="3" t="s">
        <v>25</v>
      </c>
      <c r="Q17" s="3" t="s">
        <v>4632</v>
      </c>
    </row>
    <row r="18" spans="1:17">
      <c r="A18" s="3">
        <v>284088</v>
      </c>
      <c r="B18" s="3" t="s">
        <v>110</v>
      </c>
      <c r="C18" s="3" t="str">
        <f>"9781405132787"</f>
        <v>9781405132787</v>
      </c>
      <c r="D18" s="3" t="str">
        <f>"9780470997314"</f>
        <v>9780470997314</v>
      </c>
      <c r="E18" s="3" t="s">
        <v>32</v>
      </c>
      <c r="F18" s="3" t="s">
        <v>33</v>
      </c>
      <c r="G18" s="4">
        <v>38457</v>
      </c>
      <c r="H18" s="3" t="s">
        <v>20</v>
      </c>
      <c r="I18" s="3">
        <v>1</v>
      </c>
      <c r="J18" s="3" t="s">
        <v>111</v>
      </c>
      <c r="K18" s="3" t="s">
        <v>112</v>
      </c>
      <c r="L18" s="3" t="s">
        <v>58</v>
      </c>
      <c r="M18" s="3" t="s">
        <v>113</v>
      </c>
      <c r="N18" s="3">
        <v>938.07</v>
      </c>
      <c r="O18" s="3" t="s">
        <v>114</v>
      </c>
      <c r="P18" s="3" t="s">
        <v>25</v>
      </c>
      <c r="Q18" s="3" t="s">
        <v>4633</v>
      </c>
    </row>
    <row r="19" spans="1:17">
      <c r="A19" s="3">
        <v>284117</v>
      </c>
      <c r="B19" s="3" t="s">
        <v>115</v>
      </c>
      <c r="C19" s="3" t="str">
        <f>"9781405117715"</f>
        <v>9781405117715</v>
      </c>
      <c r="D19" s="3" t="str">
        <f>"9781405171632"</f>
        <v>9781405171632</v>
      </c>
      <c r="E19" s="3" t="s">
        <v>32</v>
      </c>
      <c r="F19" s="3" t="s">
        <v>33</v>
      </c>
      <c r="G19" s="4">
        <v>39118</v>
      </c>
      <c r="H19" s="3" t="s">
        <v>20</v>
      </c>
      <c r="I19" s="3">
        <v>1</v>
      </c>
      <c r="J19" s="3" t="s">
        <v>116</v>
      </c>
      <c r="K19" s="3" t="s">
        <v>117</v>
      </c>
      <c r="L19" s="3" t="s">
        <v>118</v>
      </c>
      <c r="M19" s="3" t="s">
        <v>119</v>
      </c>
      <c r="N19" s="3">
        <v>248.09</v>
      </c>
      <c r="O19" s="3" t="s">
        <v>120</v>
      </c>
      <c r="P19" s="3" t="s">
        <v>25</v>
      </c>
      <c r="Q19" s="3" t="s">
        <v>4634</v>
      </c>
    </row>
    <row r="20" spans="1:17">
      <c r="A20" s="3">
        <v>284206</v>
      </c>
      <c r="B20" s="3" t="s">
        <v>121</v>
      </c>
      <c r="C20" s="3" t="str">
        <f>"9781405107945"</f>
        <v>9781405107945</v>
      </c>
      <c r="D20" s="3" t="str">
        <f>"9781405152358"</f>
        <v>9781405152358</v>
      </c>
      <c r="E20" s="3" t="s">
        <v>32</v>
      </c>
      <c r="F20" s="3" t="s">
        <v>33</v>
      </c>
      <c r="G20" s="4">
        <v>38810</v>
      </c>
      <c r="H20" s="3" t="s">
        <v>20</v>
      </c>
      <c r="I20" s="3">
        <v>1</v>
      </c>
      <c r="J20" s="3" t="s">
        <v>122</v>
      </c>
      <c r="K20" s="3" t="s">
        <v>123</v>
      </c>
      <c r="L20" s="3" t="s">
        <v>43</v>
      </c>
      <c r="M20" s="3" t="s">
        <v>124</v>
      </c>
      <c r="N20" s="3" t="s">
        <v>125</v>
      </c>
      <c r="O20" s="3" t="s">
        <v>126</v>
      </c>
      <c r="P20" s="3" t="s">
        <v>25</v>
      </c>
      <c r="Q20" s="3" t="s">
        <v>4635</v>
      </c>
    </row>
    <row r="21" spans="1:17">
      <c r="A21" s="3">
        <v>288613</v>
      </c>
      <c r="B21" s="3" t="s">
        <v>127</v>
      </c>
      <c r="C21" s="3" t="str">
        <f>"9780521852494"</f>
        <v>9780521852494</v>
      </c>
      <c r="D21" s="3" t="str">
        <f>"9780511272981"</f>
        <v>9780511272981</v>
      </c>
      <c r="E21" s="3" t="s">
        <v>41</v>
      </c>
      <c r="F21" s="3" t="s">
        <v>41</v>
      </c>
      <c r="G21" s="4">
        <v>39135</v>
      </c>
      <c r="H21" s="3" t="s">
        <v>20</v>
      </c>
      <c r="I21" s="3">
        <v>2</v>
      </c>
      <c r="J21" s="3"/>
      <c r="K21" s="3" t="s">
        <v>128</v>
      </c>
      <c r="L21" s="3" t="s">
        <v>129</v>
      </c>
      <c r="M21" s="3" t="s">
        <v>130</v>
      </c>
      <c r="N21" s="3" t="s">
        <v>131</v>
      </c>
      <c r="O21" s="3" t="s">
        <v>132</v>
      </c>
      <c r="P21" s="3" t="s">
        <v>25</v>
      </c>
      <c r="Q21" s="3" t="s">
        <v>4636</v>
      </c>
    </row>
    <row r="22" spans="1:17">
      <c r="A22" s="3">
        <v>288664</v>
      </c>
      <c r="B22" s="3" t="s">
        <v>133</v>
      </c>
      <c r="C22" s="3" t="str">
        <f>"9780521856706"</f>
        <v>9780521856706</v>
      </c>
      <c r="D22" s="3" t="str">
        <f>"9780511273124"</f>
        <v>9780511273124</v>
      </c>
      <c r="E22" s="3" t="s">
        <v>41</v>
      </c>
      <c r="F22" s="3" t="s">
        <v>41</v>
      </c>
      <c r="G22" s="4">
        <v>39149</v>
      </c>
      <c r="H22" s="3" t="s">
        <v>20</v>
      </c>
      <c r="I22" s="3"/>
      <c r="J22" s="3" t="s">
        <v>134</v>
      </c>
      <c r="K22" s="3" t="s">
        <v>135</v>
      </c>
      <c r="L22" s="3" t="s">
        <v>22</v>
      </c>
      <c r="M22" s="3" t="s">
        <v>136</v>
      </c>
      <c r="N22" s="3" t="s">
        <v>137</v>
      </c>
      <c r="O22" s="3" t="s">
        <v>138</v>
      </c>
      <c r="P22" s="3" t="s">
        <v>25</v>
      </c>
      <c r="Q22" s="3" t="s">
        <v>4637</v>
      </c>
    </row>
    <row r="23" spans="1:17">
      <c r="A23" s="3">
        <v>288665</v>
      </c>
      <c r="B23" s="3" t="s">
        <v>139</v>
      </c>
      <c r="C23" s="3" t="str">
        <f>"9780521853910"</f>
        <v>9780521853910</v>
      </c>
      <c r="D23" s="3" t="str">
        <f>"9780511273018"</f>
        <v>9780511273018</v>
      </c>
      <c r="E23" s="3" t="s">
        <v>41</v>
      </c>
      <c r="F23" s="3" t="s">
        <v>41</v>
      </c>
      <c r="G23" s="4">
        <v>39177</v>
      </c>
      <c r="H23" s="3" t="s">
        <v>20</v>
      </c>
      <c r="I23" s="3"/>
      <c r="J23" s="3" t="s">
        <v>134</v>
      </c>
      <c r="K23" s="3" t="s">
        <v>140</v>
      </c>
      <c r="L23" s="3" t="s">
        <v>22</v>
      </c>
      <c r="M23" s="3" t="s">
        <v>141</v>
      </c>
      <c r="N23" s="3" t="s">
        <v>142</v>
      </c>
      <c r="O23" s="3" t="s">
        <v>143</v>
      </c>
      <c r="P23" s="3" t="s">
        <v>25</v>
      </c>
      <c r="Q23" s="3" t="s">
        <v>4638</v>
      </c>
    </row>
    <row r="24" spans="1:17">
      <c r="A24" s="3">
        <v>288666</v>
      </c>
      <c r="B24" s="3" t="s">
        <v>144</v>
      </c>
      <c r="C24" s="3" t="str">
        <f>"9780521859097"</f>
        <v>9780521859097</v>
      </c>
      <c r="D24" s="3" t="str">
        <f>"9780511273148"</f>
        <v>9780511273148</v>
      </c>
      <c r="E24" s="3" t="s">
        <v>41</v>
      </c>
      <c r="F24" s="3" t="s">
        <v>41</v>
      </c>
      <c r="G24" s="4">
        <v>39149</v>
      </c>
      <c r="H24" s="3" t="s">
        <v>20</v>
      </c>
      <c r="I24" s="3"/>
      <c r="J24" s="3" t="s">
        <v>134</v>
      </c>
      <c r="K24" s="3" t="s">
        <v>145</v>
      </c>
      <c r="L24" s="3" t="s">
        <v>22</v>
      </c>
      <c r="M24" s="3" t="s">
        <v>146</v>
      </c>
      <c r="N24" s="3" t="s">
        <v>147</v>
      </c>
      <c r="O24" s="3" t="s">
        <v>148</v>
      </c>
      <c r="P24" s="3" t="s">
        <v>25</v>
      </c>
      <c r="Q24" s="3" t="s">
        <v>4639</v>
      </c>
    </row>
    <row r="25" spans="1:17">
      <c r="A25" s="3">
        <v>288667</v>
      </c>
      <c r="B25" s="3" t="s">
        <v>149</v>
      </c>
      <c r="C25" s="3" t="str">
        <f>"9780521855440"</f>
        <v>9780521855440</v>
      </c>
      <c r="D25" s="3" t="str">
        <f>"9780511273094"</f>
        <v>9780511273094</v>
      </c>
      <c r="E25" s="3" t="s">
        <v>41</v>
      </c>
      <c r="F25" s="3" t="s">
        <v>41</v>
      </c>
      <c r="G25" s="4">
        <v>39160</v>
      </c>
      <c r="H25" s="3" t="s">
        <v>20</v>
      </c>
      <c r="I25" s="3"/>
      <c r="J25" s="3" t="s">
        <v>134</v>
      </c>
      <c r="K25" s="3" t="s">
        <v>150</v>
      </c>
      <c r="L25" s="3" t="s">
        <v>22</v>
      </c>
      <c r="M25" s="3" t="s">
        <v>151</v>
      </c>
      <c r="N25" s="3" t="s">
        <v>152</v>
      </c>
      <c r="O25" s="3" t="s">
        <v>153</v>
      </c>
      <c r="P25" s="3" t="s">
        <v>25</v>
      </c>
      <c r="Q25" s="3" t="s">
        <v>4640</v>
      </c>
    </row>
    <row r="26" spans="1:17">
      <c r="A26" s="3">
        <v>288668</v>
      </c>
      <c r="B26" s="3" t="s">
        <v>154</v>
      </c>
      <c r="C26" s="3" t="str">
        <f>"9780521854801"</f>
        <v>9780521854801</v>
      </c>
      <c r="D26" s="3" t="str">
        <f>"9780511273063"</f>
        <v>9780511273063</v>
      </c>
      <c r="E26" s="3" t="s">
        <v>41</v>
      </c>
      <c r="F26" s="3" t="s">
        <v>41</v>
      </c>
      <c r="G26" s="4">
        <v>39149</v>
      </c>
      <c r="H26" s="3" t="s">
        <v>20</v>
      </c>
      <c r="I26" s="3"/>
      <c r="J26" s="3" t="s">
        <v>134</v>
      </c>
      <c r="K26" s="3" t="s">
        <v>155</v>
      </c>
      <c r="L26" s="3" t="s">
        <v>22</v>
      </c>
      <c r="M26" s="3" t="s">
        <v>156</v>
      </c>
      <c r="N26" s="3" t="s">
        <v>157</v>
      </c>
      <c r="O26" s="3" t="s">
        <v>158</v>
      </c>
      <c r="P26" s="3" t="s">
        <v>25</v>
      </c>
      <c r="Q26" s="3" t="s">
        <v>4641</v>
      </c>
    </row>
    <row r="27" spans="1:17">
      <c r="A27" s="3">
        <v>288669</v>
      </c>
      <c r="B27" s="3" t="s">
        <v>159</v>
      </c>
      <c r="C27" s="3" t="str">
        <f>"9780521854450"</f>
        <v>9780521854450</v>
      </c>
      <c r="D27" s="3" t="str">
        <f>"9780511273025"</f>
        <v>9780511273025</v>
      </c>
      <c r="E27" s="3" t="s">
        <v>41</v>
      </c>
      <c r="F27" s="3" t="s">
        <v>41</v>
      </c>
      <c r="G27" s="4">
        <v>39149</v>
      </c>
      <c r="H27" s="3" t="s">
        <v>20</v>
      </c>
      <c r="I27" s="3"/>
      <c r="J27" s="3" t="s">
        <v>134</v>
      </c>
      <c r="K27" s="3" t="s">
        <v>160</v>
      </c>
      <c r="L27" s="3" t="s">
        <v>22</v>
      </c>
      <c r="M27" s="3" t="s">
        <v>161</v>
      </c>
      <c r="N27" s="3">
        <v>818.40899999999999</v>
      </c>
      <c r="O27" s="3" t="s">
        <v>162</v>
      </c>
      <c r="P27" s="3" t="s">
        <v>25</v>
      </c>
      <c r="Q27" s="3" t="s">
        <v>4642</v>
      </c>
    </row>
    <row r="28" spans="1:17">
      <c r="A28" s="3">
        <v>288670</v>
      </c>
      <c r="B28" s="3" t="s">
        <v>163</v>
      </c>
      <c r="C28" s="3" t="str">
        <f>"9780521854580"</f>
        <v>9780521854580</v>
      </c>
      <c r="D28" s="3" t="str">
        <f>"9780511273049"</f>
        <v>9780511273049</v>
      </c>
      <c r="E28" s="3" t="s">
        <v>41</v>
      </c>
      <c r="F28" s="3" t="s">
        <v>41</v>
      </c>
      <c r="G28" s="4">
        <v>39177</v>
      </c>
      <c r="H28" s="3" t="s">
        <v>20</v>
      </c>
      <c r="I28" s="3"/>
      <c r="J28" s="3" t="s">
        <v>134</v>
      </c>
      <c r="K28" s="3" t="s">
        <v>164</v>
      </c>
      <c r="L28" s="3" t="s">
        <v>22</v>
      </c>
      <c r="M28" s="3" t="s">
        <v>165</v>
      </c>
      <c r="N28" s="3" t="s">
        <v>152</v>
      </c>
      <c r="O28" s="3" t="s">
        <v>166</v>
      </c>
      <c r="P28" s="3" t="s">
        <v>25</v>
      </c>
      <c r="Q28" s="3" t="s">
        <v>4643</v>
      </c>
    </row>
    <row r="29" spans="1:17">
      <c r="A29" s="3">
        <v>288671</v>
      </c>
      <c r="B29" s="3" t="s">
        <v>167</v>
      </c>
      <c r="C29" s="3" t="str">
        <f>"9780521855990"</f>
        <v>9780521855990</v>
      </c>
      <c r="D29" s="3" t="str">
        <f>"9780511273117"</f>
        <v>9780511273117</v>
      </c>
      <c r="E29" s="3" t="s">
        <v>41</v>
      </c>
      <c r="F29" s="3" t="s">
        <v>41</v>
      </c>
      <c r="G29" s="4">
        <v>39149</v>
      </c>
      <c r="H29" s="3" t="s">
        <v>20</v>
      </c>
      <c r="I29" s="3"/>
      <c r="J29" s="3" t="s">
        <v>134</v>
      </c>
      <c r="K29" s="3" t="s">
        <v>168</v>
      </c>
      <c r="L29" s="3" t="s">
        <v>22</v>
      </c>
      <c r="M29" s="3" t="s">
        <v>169</v>
      </c>
      <c r="N29" s="3" t="s">
        <v>29</v>
      </c>
      <c r="O29" s="3" t="s">
        <v>170</v>
      </c>
      <c r="P29" s="3" t="s">
        <v>25</v>
      </c>
      <c r="Q29" s="3" t="s">
        <v>4644</v>
      </c>
    </row>
    <row r="30" spans="1:17">
      <c r="A30" s="3">
        <v>288672</v>
      </c>
      <c r="B30" s="3" t="s">
        <v>171</v>
      </c>
      <c r="C30" s="3" t="str">
        <f>"9780521858175"</f>
        <v>9780521858175</v>
      </c>
      <c r="D30" s="3" t="str">
        <f>"9780511273131"</f>
        <v>9780511273131</v>
      </c>
      <c r="E30" s="3" t="s">
        <v>41</v>
      </c>
      <c r="F30" s="3" t="s">
        <v>41</v>
      </c>
      <c r="G30" s="4">
        <v>39149</v>
      </c>
      <c r="H30" s="3" t="s">
        <v>20</v>
      </c>
      <c r="I30" s="3"/>
      <c r="J30" s="3" t="s">
        <v>134</v>
      </c>
      <c r="K30" s="3" t="s">
        <v>172</v>
      </c>
      <c r="L30" s="3" t="s">
        <v>22</v>
      </c>
      <c r="M30" s="3" t="s">
        <v>173</v>
      </c>
      <c r="N30" s="3" t="s">
        <v>29</v>
      </c>
      <c r="O30" s="3" t="s">
        <v>174</v>
      </c>
      <c r="P30" s="3" t="s">
        <v>25</v>
      </c>
      <c r="Q30" s="3" t="s">
        <v>4645</v>
      </c>
    </row>
    <row r="31" spans="1:17">
      <c r="A31" s="3">
        <v>288673</v>
      </c>
      <c r="B31" s="3" t="s">
        <v>175</v>
      </c>
      <c r="C31" s="3" t="str">
        <f>"9780521854566"</f>
        <v>9780521854566</v>
      </c>
      <c r="D31" s="3" t="str">
        <f>"9780511273032"</f>
        <v>9780511273032</v>
      </c>
      <c r="E31" s="3" t="s">
        <v>41</v>
      </c>
      <c r="F31" s="3" t="s">
        <v>41</v>
      </c>
      <c r="G31" s="4">
        <v>39149</v>
      </c>
      <c r="H31" s="3" t="s">
        <v>20</v>
      </c>
      <c r="I31" s="3"/>
      <c r="J31" s="3" t="s">
        <v>134</v>
      </c>
      <c r="K31" s="3" t="s">
        <v>176</v>
      </c>
      <c r="L31" s="3" t="s">
        <v>22</v>
      </c>
      <c r="M31" s="3" t="s">
        <v>177</v>
      </c>
      <c r="N31" s="3" t="s">
        <v>178</v>
      </c>
      <c r="O31" s="3" t="s">
        <v>179</v>
      </c>
      <c r="P31" s="3" t="s">
        <v>25</v>
      </c>
      <c r="Q31" s="3" t="s">
        <v>4646</v>
      </c>
    </row>
    <row r="32" spans="1:17">
      <c r="A32" s="3">
        <v>293094</v>
      </c>
      <c r="B32" s="3" t="s">
        <v>180</v>
      </c>
      <c r="C32" s="3" t="str">
        <f>"9781405141796"</f>
        <v>9781405141796</v>
      </c>
      <c r="D32" s="3" t="str">
        <f>"9781405178600"</f>
        <v>9781405178600</v>
      </c>
      <c r="E32" s="3" t="s">
        <v>32</v>
      </c>
      <c r="F32" s="3" t="s">
        <v>33</v>
      </c>
      <c r="G32" s="4">
        <v>38957</v>
      </c>
      <c r="H32" s="3" t="s">
        <v>20</v>
      </c>
      <c r="I32" s="3">
        <v>2</v>
      </c>
      <c r="J32" s="3"/>
      <c r="K32" s="3" t="s">
        <v>181</v>
      </c>
      <c r="L32" s="3" t="s">
        <v>182</v>
      </c>
      <c r="M32" s="3" t="s">
        <v>183</v>
      </c>
      <c r="N32" s="3">
        <v>190</v>
      </c>
      <c r="O32" s="3" t="s">
        <v>184</v>
      </c>
      <c r="P32" s="3" t="s">
        <v>25</v>
      </c>
      <c r="Q32" s="3" t="s">
        <v>4647</v>
      </c>
    </row>
    <row r="33" spans="1:17">
      <c r="A33" s="3">
        <v>293114</v>
      </c>
      <c r="B33" s="3" t="s">
        <v>185</v>
      </c>
      <c r="C33" s="3" t="str">
        <f>"9781405188340"</f>
        <v>9781405188340</v>
      </c>
      <c r="D33" s="3" t="str">
        <f>"9781405178259"</f>
        <v>9781405178259</v>
      </c>
      <c r="E33" s="3" t="s">
        <v>32</v>
      </c>
      <c r="F33" s="3" t="s">
        <v>33</v>
      </c>
      <c r="G33" s="4">
        <v>38898</v>
      </c>
      <c r="H33" s="3" t="s">
        <v>20</v>
      </c>
      <c r="I33" s="3">
        <v>1</v>
      </c>
      <c r="J33" s="3" t="s">
        <v>186</v>
      </c>
      <c r="K33" s="3" t="s">
        <v>187</v>
      </c>
      <c r="L33" s="3" t="s">
        <v>182</v>
      </c>
      <c r="M33" s="3" t="s">
        <v>188</v>
      </c>
      <c r="N33" s="3">
        <v>180</v>
      </c>
      <c r="O33" s="3" t="s">
        <v>189</v>
      </c>
      <c r="P33" s="3" t="s">
        <v>25</v>
      </c>
      <c r="Q33" s="3" t="s">
        <v>4648</v>
      </c>
    </row>
    <row r="34" spans="1:17">
      <c r="A34" s="3">
        <v>293711</v>
      </c>
      <c r="B34" s="3" t="s">
        <v>190</v>
      </c>
      <c r="C34" s="3" t="str">
        <f>"9781403902788"</f>
        <v>9781403902788</v>
      </c>
      <c r="D34" s="3" t="str">
        <f>"9780230625181"</f>
        <v>9780230625181</v>
      </c>
      <c r="E34" s="3" t="s">
        <v>191</v>
      </c>
      <c r="F34" s="3" t="s">
        <v>192</v>
      </c>
      <c r="G34" s="4">
        <v>38888</v>
      </c>
      <c r="H34" s="3" t="s">
        <v>20</v>
      </c>
      <c r="I34" s="3"/>
      <c r="J34" s="3"/>
      <c r="K34" s="3" t="s">
        <v>193</v>
      </c>
      <c r="L34" s="3" t="s">
        <v>194</v>
      </c>
      <c r="M34" s="3" t="s">
        <v>195</v>
      </c>
      <c r="N34" s="3">
        <v>338.88</v>
      </c>
      <c r="O34" s="3" t="s">
        <v>196</v>
      </c>
      <c r="P34" s="3" t="s">
        <v>25</v>
      </c>
      <c r="Q34" s="3" t="s">
        <v>4649</v>
      </c>
    </row>
    <row r="35" spans="1:17">
      <c r="A35" s="3">
        <v>295703</v>
      </c>
      <c r="B35" s="3" t="s">
        <v>197</v>
      </c>
      <c r="C35" s="3" t="str">
        <f>"9780521826372"</f>
        <v>9780521826372</v>
      </c>
      <c r="D35" s="3" t="str">
        <f>"9780511283826"</f>
        <v>9780511283826</v>
      </c>
      <c r="E35" s="3" t="s">
        <v>41</v>
      </c>
      <c r="F35" s="3" t="s">
        <v>41</v>
      </c>
      <c r="G35" s="4">
        <v>39226</v>
      </c>
      <c r="H35" s="3" t="s">
        <v>20</v>
      </c>
      <c r="I35" s="3"/>
      <c r="J35" s="3"/>
      <c r="K35" s="3" t="s">
        <v>198</v>
      </c>
      <c r="L35" s="3" t="s">
        <v>199</v>
      </c>
      <c r="M35" s="3" t="s">
        <v>200</v>
      </c>
      <c r="N35" s="3">
        <v>616.89</v>
      </c>
      <c r="O35" s="3" t="s">
        <v>201</v>
      </c>
      <c r="P35" s="3" t="s">
        <v>25</v>
      </c>
      <c r="Q35" s="3" t="s">
        <v>4650</v>
      </c>
    </row>
    <row r="36" spans="1:17">
      <c r="A36" s="3">
        <v>311221</v>
      </c>
      <c r="B36" s="3" t="s">
        <v>202</v>
      </c>
      <c r="C36" s="3" t="str">
        <f>"9780521879972"</f>
        <v>9780521879972</v>
      </c>
      <c r="D36" s="3" t="str">
        <f>"9780511288517"</f>
        <v>9780511288517</v>
      </c>
      <c r="E36" s="3" t="s">
        <v>41</v>
      </c>
      <c r="F36" s="3" t="s">
        <v>41</v>
      </c>
      <c r="G36" s="4">
        <v>39317</v>
      </c>
      <c r="H36" s="3" t="s">
        <v>20</v>
      </c>
      <c r="I36" s="3">
        <v>2</v>
      </c>
      <c r="J36" s="3"/>
      <c r="K36" s="3" t="s">
        <v>203</v>
      </c>
      <c r="L36" s="3" t="s">
        <v>204</v>
      </c>
      <c r="M36" s="3" t="s">
        <v>205</v>
      </c>
      <c r="N36" s="3" t="s">
        <v>206</v>
      </c>
      <c r="O36" s="3" t="s">
        <v>207</v>
      </c>
      <c r="P36" s="3" t="s">
        <v>25</v>
      </c>
      <c r="Q36" s="3" t="s">
        <v>4651</v>
      </c>
    </row>
    <row r="37" spans="1:17">
      <c r="A37" s="3">
        <v>311243</v>
      </c>
      <c r="B37" s="3" t="s">
        <v>208</v>
      </c>
      <c r="C37" s="3" t="str">
        <f>"9780521857437"</f>
        <v>9780521857437</v>
      </c>
      <c r="D37" s="3" t="str">
        <f>"9780511288555"</f>
        <v>9780511288555</v>
      </c>
      <c r="E37" s="3" t="s">
        <v>41</v>
      </c>
      <c r="F37" s="3" t="s">
        <v>41</v>
      </c>
      <c r="G37" s="4">
        <v>39216</v>
      </c>
      <c r="H37" s="3" t="s">
        <v>20</v>
      </c>
      <c r="I37" s="3"/>
      <c r="J37" s="3" t="s">
        <v>62</v>
      </c>
      <c r="K37" s="3" t="s">
        <v>209</v>
      </c>
      <c r="L37" s="3" t="s">
        <v>90</v>
      </c>
      <c r="M37" s="3" t="s">
        <v>210</v>
      </c>
      <c r="N37" s="3">
        <v>153</v>
      </c>
      <c r="O37" s="3" t="s">
        <v>211</v>
      </c>
      <c r="P37" s="3" t="s">
        <v>25</v>
      </c>
      <c r="Q37" s="3" t="s">
        <v>4652</v>
      </c>
    </row>
    <row r="38" spans="1:17">
      <c r="A38" s="3">
        <v>311272</v>
      </c>
      <c r="B38" s="3" t="s">
        <v>212</v>
      </c>
      <c r="C38" s="3" t="str">
        <f>"9780521874076"</f>
        <v>9780521874076</v>
      </c>
      <c r="D38" s="3" t="str">
        <f>"9780511288661"</f>
        <v>9780511288661</v>
      </c>
      <c r="E38" s="3" t="s">
        <v>41</v>
      </c>
      <c r="F38" s="3" t="s">
        <v>41</v>
      </c>
      <c r="G38" s="4">
        <v>39268</v>
      </c>
      <c r="H38" s="3" t="s">
        <v>20</v>
      </c>
      <c r="I38" s="3">
        <v>2</v>
      </c>
      <c r="J38" s="3"/>
      <c r="K38" s="3" t="s">
        <v>213</v>
      </c>
      <c r="L38" s="3" t="s">
        <v>214</v>
      </c>
      <c r="M38" s="3" t="s">
        <v>215</v>
      </c>
      <c r="N38" s="3">
        <v>523.29999999999995</v>
      </c>
      <c r="O38" s="3" t="s">
        <v>216</v>
      </c>
      <c r="P38" s="3" t="s">
        <v>25</v>
      </c>
      <c r="Q38" s="3" t="s">
        <v>4653</v>
      </c>
    </row>
    <row r="39" spans="1:17">
      <c r="A39" s="3">
        <v>320054</v>
      </c>
      <c r="B39" s="3" t="s">
        <v>217</v>
      </c>
      <c r="C39" s="3" t="str">
        <f>"9781444345445"</f>
        <v>9781444345445</v>
      </c>
      <c r="D39" s="3" t="str">
        <f>"9780470766071"</f>
        <v>9780470766071</v>
      </c>
      <c r="E39" s="3" t="s">
        <v>32</v>
      </c>
      <c r="F39" s="3" t="s">
        <v>33</v>
      </c>
      <c r="G39" s="4">
        <v>39398</v>
      </c>
      <c r="H39" s="3" t="s">
        <v>20</v>
      </c>
      <c r="I39" s="3">
        <v>2</v>
      </c>
      <c r="J39" s="3" t="s">
        <v>186</v>
      </c>
      <c r="K39" s="3" t="s">
        <v>218</v>
      </c>
      <c r="L39" s="3" t="s">
        <v>219</v>
      </c>
      <c r="M39" s="3" t="s">
        <v>220</v>
      </c>
      <c r="N39" s="3">
        <v>320.01</v>
      </c>
      <c r="O39" s="3" t="s">
        <v>221</v>
      </c>
      <c r="P39" s="3" t="s">
        <v>25</v>
      </c>
      <c r="Q39" s="3" t="s">
        <v>4654</v>
      </c>
    </row>
    <row r="40" spans="1:17">
      <c r="A40" s="3">
        <v>320058</v>
      </c>
      <c r="B40" s="3" t="s">
        <v>222</v>
      </c>
      <c r="C40" s="3" t="str">
        <f>"9781405126229"</f>
        <v>9781405126229</v>
      </c>
      <c r="D40" s="3" t="str">
        <f>"9780470766026"</f>
        <v>9780470766026</v>
      </c>
      <c r="E40" s="3" t="s">
        <v>32</v>
      </c>
      <c r="F40" s="3" t="s">
        <v>33</v>
      </c>
      <c r="G40" s="4">
        <v>39377</v>
      </c>
      <c r="H40" s="3" t="s">
        <v>20</v>
      </c>
      <c r="I40" s="3">
        <v>1</v>
      </c>
      <c r="J40" s="3" t="s">
        <v>223</v>
      </c>
      <c r="K40" s="3" t="s">
        <v>224</v>
      </c>
      <c r="L40" s="3" t="s">
        <v>225</v>
      </c>
      <c r="M40" s="3" t="s">
        <v>226</v>
      </c>
      <c r="N40" s="3">
        <v>305.86807299999998</v>
      </c>
      <c r="O40" s="3" t="s">
        <v>227</v>
      </c>
      <c r="P40" s="3" t="s">
        <v>25</v>
      </c>
      <c r="Q40" s="3" t="s">
        <v>4655</v>
      </c>
    </row>
    <row r="41" spans="1:17">
      <c r="A41" s="3">
        <v>321093</v>
      </c>
      <c r="B41" s="3" t="s">
        <v>228</v>
      </c>
      <c r="C41" s="3" t="str">
        <f>"9780521838566"</f>
        <v>9780521838566</v>
      </c>
      <c r="D41" s="3" t="str">
        <f>"9780511347801"</f>
        <v>9780511347801</v>
      </c>
      <c r="E41" s="3" t="s">
        <v>41</v>
      </c>
      <c r="F41" s="3" t="s">
        <v>41</v>
      </c>
      <c r="G41" s="4">
        <v>39107</v>
      </c>
      <c r="H41" s="3" t="s">
        <v>20</v>
      </c>
      <c r="I41" s="3"/>
      <c r="J41" s="3" t="s">
        <v>134</v>
      </c>
      <c r="K41" s="3" t="s">
        <v>229</v>
      </c>
      <c r="L41" s="3" t="s">
        <v>22</v>
      </c>
      <c r="M41" s="3" t="s">
        <v>230</v>
      </c>
      <c r="N41" s="3">
        <v>848.91408999999999</v>
      </c>
      <c r="O41" s="3" t="s">
        <v>231</v>
      </c>
      <c r="P41" s="3" t="s">
        <v>25</v>
      </c>
      <c r="Q41" s="3" t="s">
        <v>4656</v>
      </c>
    </row>
    <row r="42" spans="1:17">
      <c r="A42" s="3">
        <v>321206</v>
      </c>
      <c r="B42" s="3" t="s">
        <v>232</v>
      </c>
      <c r="C42" s="3" t="str">
        <f>"9780521618137"</f>
        <v>9780521618137</v>
      </c>
      <c r="D42" s="3" t="str">
        <f>"9780511344329"</f>
        <v>9780511344329</v>
      </c>
      <c r="E42" s="3" t="s">
        <v>41</v>
      </c>
      <c r="F42" s="3" t="s">
        <v>41</v>
      </c>
      <c r="G42" s="4">
        <v>38803</v>
      </c>
      <c r="H42" s="3" t="s">
        <v>20</v>
      </c>
      <c r="I42" s="3"/>
      <c r="J42" s="3"/>
      <c r="K42" s="3" t="s">
        <v>233</v>
      </c>
      <c r="L42" s="3" t="s">
        <v>204</v>
      </c>
      <c r="M42" s="3" t="s">
        <v>234</v>
      </c>
      <c r="N42" s="3">
        <v>616.5</v>
      </c>
      <c r="O42" s="3" t="s">
        <v>235</v>
      </c>
      <c r="P42" s="3" t="s">
        <v>25</v>
      </c>
      <c r="Q42" s="3" t="s">
        <v>4657</v>
      </c>
    </row>
    <row r="43" spans="1:17">
      <c r="A43" s="3">
        <v>321303</v>
      </c>
      <c r="B43" s="3" t="s">
        <v>236</v>
      </c>
      <c r="C43" s="3" t="str">
        <f>"9780521688697"</f>
        <v>9780521688697</v>
      </c>
      <c r="D43" s="3" t="str">
        <f>"9780511354304"</f>
        <v>9780511354304</v>
      </c>
      <c r="E43" s="3" t="s">
        <v>41</v>
      </c>
      <c r="F43" s="3" t="s">
        <v>41</v>
      </c>
      <c r="G43" s="4">
        <v>39377</v>
      </c>
      <c r="H43" s="3" t="s">
        <v>20</v>
      </c>
      <c r="I43" s="3"/>
      <c r="J43" s="3"/>
      <c r="K43" s="3" t="s">
        <v>237</v>
      </c>
      <c r="L43" s="3" t="s">
        <v>204</v>
      </c>
      <c r="M43" s="3" t="s">
        <v>238</v>
      </c>
      <c r="N43" s="3">
        <v>616.02499999999998</v>
      </c>
      <c r="O43" s="3" t="s">
        <v>239</v>
      </c>
      <c r="P43" s="3" t="s">
        <v>25</v>
      </c>
      <c r="Q43" s="3" t="s">
        <v>4658</v>
      </c>
    </row>
    <row r="44" spans="1:17">
      <c r="A44" s="3">
        <v>321438</v>
      </c>
      <c r="B44" s="3" t="s">
        <v>240</v>
      </c>
      <c r="C44" s="3" t="str">
        <f>"9780521845618"</f>
        <v>9780521845618</v>
      </c>
      <c r="D44" s="3" t="str">
        <f>"9780511365584"</f>
        <v>9780511365584</v>
      </c>
      <c r="E44" s="3" t="s">
        <v>41</v>
      </c>
      <c r="F44" s="3" t="s">
        <v>41</v>
      </c>
      <c r="G44" s="4">
        <v>39380</v>
      </c>
      <c r="H44" s="3" t="s">
        <v>20</v>
      </c>
      <c r="I44" s="3"/>
      <c r="J44" s="3"/>
      <c r="K44" s="3" t="s">
        <v>241</v>
      </c>
      <c r="L44" s="3" t="s">
        <v>64</v>
      </c>
      <c r="M44" s="3" t="s">
        <v>242</v>
      </c>
      <c r="N44" s="3">
        <v>300.72000000000003</v>
      </c>
      <c r="O44" s="3" t="s">
        <v>243</v>
      </c>
      <c r="P44" s="3" t="s">
        <v>25</v>
      </c>
      <c r="Q44" s="3" t="s">
        <v>4659</v>
      </c>
    </row>
    <row r="45" spans="1:17">
      <c r="A45" s="3">
        <v>328888</v>
      </c>
      <c r="B45" s="3" t="s">
        <v>244</v>
      </c>
      <c r="C45" s="3" t="str">
        <f>"9780521849715"</f>
        <v>9780521849715</v>
      </c>
      <c r="D45" s="3" t="str">
        <f>"9780511375781"</f>
        <v>9780511375781</v>
      </c>
      <c r="E45" s="3" t="s">
        <v>41</v>
      </c>
      <c r="F45" s="3" t="s">
        <v>41</v>
      </c>
      <c r="G45" s="4">
        <v>39380</v>
      </c>
      <c r="H45" s="3" t="s">
        <v>20</v>
      </c>
      <c r="I45" s="3"/>
      <c r="J45" s="3" t="s">
        <v>134</v>
      </c>
      <c r="K45" s="3" t="s">
        <v>245</v>
      </c>
      <c r="L45" s="3" t="s">
        <v>22</v>
      </c>
      <c r="M45" s="3" t="s">
        <v>246</v>
      </c>
      <c r="N45" s="3">
        <v>840.9</v>
      </c>
      <c r="O45" s="3" t="s">
        <v>247</v>
      </c>
      <c r="P45" s="3" t="s">
        <v>25</v>
      </c>
      <c r="Q45" s="3" t="s">
        <v>4660</v>
      </c>
    </row>
    <row r="46" spans="1:17">
      <c r="A46" s="3">
        <v>328891</v>
      </c>
      <c r="B46" s="3" t="s">
        <v>248</v>
      </c>
      <c r="C46" s="3" t="str">
        <f>"9780521709675"</f>
        <v>9780521709675</v>
      </c>
      <c r="D46" s="3" t="str">
        <f>"9780511375941"</f>
        <v>9780511375941</v>
      </c>
      <c r="E46" s="3" t="s">
        <v>41</v>
      </c>
      <c r="F46" s="3" t="s">
        <v>41</v>
      </c>
      <c r="G46" s="4">
        <v>39429</v>
      </c>
      <c r="H46" s="3" t="s">
        <v>20</v>
      </c>
      <c r="I46" s="3">
        <v>18</v>
      </c>
      <c r="J46" s="3"/>
      <c r="K46" s="3" t="s">
        <v>249</v>
      </c>
      <c r="L46" s="3" t="s">
        <v>204</v>
      </c>
      <c r="M46" s="3" t="s">
        <v>250</v>
      </c>
      <c r="N46" s="3">
        <v>610.69000000000005</v>
      </c>
      <c r="O46" s="3" t="s">
        <v>251</v>
      </c>
      <c r="P46" s="3" t="s">
        <v>25</v>
      </c>
      <c r="Q46" s="3" t="s">
        <v>4661</v>
      </c>
    </row>
    <row r="47" spans="1:17">
      <c r="A47" s="3">
        <v>334565</v>
      </c>
      <c r="B47" s="3" t="s">
        <v>252</v>
      </c>
      <c r="C47" s="3" t="str">
        <f>"9780761971337"</f>
        <v>9780761971337</v>
      </c>
      <c r="D47" s="3" t="str">
        <f>"9781847871480"</f>
        <v>9781847871480</v>
      </c>
      <c r="E47" s="3" t="s">
        <v>253</v>
      </c>
      <c r="F47" s="3" t="s">
        <v>253</v>
      </c>
      <c r="G47" s="4">
        <v>37733</v>
      </c>
      <c r="H47" s="3" t="s">
        <v>20</v>
      </c>
      <c r="I47" s="3">
        <v>1</v>
      </c>
      <c r="J47" s="3"/>
      <c r="K47" s="3" t="s">
        <v>254</v>
      </c>
      <c r="L47" s="3" t="s">
        <v>64</v>
      </c>
      <c r="M47" s="3" t="s">
        <v>255</v>
      </c>
      <c r="N47" s="3" t="s">
        <v>256</v>
      </c>
      <c r="O47" s="3" t="s">
        <v>257</v>
      </c>
      <c r="P47" s="3" t="s">
        <v>25</v>
      </c>
      <c r="Q47" s="3" t="s">
        <v>4662</v>
      </c>
    </row>
    <row r="48" spans="1:17">
      <c r="A48" s="3">
        <v>334587</v>
      </c>
      <c r="B48" s="3" t="s">
        <v>258</v>
      </c>
      <c r="C48" s="3" t="str">
        <f>"9780761974819"</f>
        <v>9780761974819</v>
      </c>
      <c r="D48" s="3" t="str">
        <f>"9781847877321"</f>
        <v>9781847877321</v>
      </c>
      <c r="E48" s="3" t="s">
        <v>253</v>
      </c>
      <c r="F48" s="3" t="s">
        <v>253</v>
      </c>
      <c r="G48" s="4">
        <v>38743</v>
      </c>
      <c r="H48" s="3" t="s">
        <v>20</v>
      </c>
      <c r="I48" s="3">
        <v>1</v>
      </c>
      <c r="J48" s="3"/>
      <c r="K48" s="3" t="s">
        <v>259</v>
      </c>
      <c r="L48" s="3" t="s">
        <v>64</v>
      </c>
      <c r="M48" s="3" t="s">
        <v>260</v>
      </c>
      <c r="N48" s="3">
        <v>301.02999999999997</v>
      </c>
      <c r="O48" s="3" t="s">
        <v>261</v>
      </c>
      <c r="P48" s="3" t="s">
        <v>25</v>
      </c>
      <c r="Q48" s="3" t="s">
        <v>4663</v>
      </c>
    </row>
    <row r="49" spans="1:17">
      <c r="A49" s="3">
        <v>334990</v>
      </c>
      <c r="B49" s="3" t="s">
        <v>262</v>
      </c>
      <c r="C49" s="3" t="str">
        <f>"9780521683357"</f>
        <v>9780521683357</v>
      </c>
      <c r="D49" s="3" t="str">
        <f>"9780511384004"</f>
        <v>9780511384004</v>
      </c>
      <c r="E49" s="3" t="s">
        <v>41</v>
      </c>
      <c r="F49" s="3" t="s">
        <v>41</v>
      </c>
      <c r="G49" s="4">
        <v>39517</v>
      </c>
      <c r="H49" s="3" t="s">
        <v>20</v>
      </c>
      <c r="I49" s="3"/>
      <c r="J49" s="3"/>
      <c r="K49" s="3" t="s">
        <v>263</v>
      </c>
      <c r="L49" s="3" t="s">
        <v>204</v>
      </c>
      <c r="M49" s="3" t="s">
        <v>264</v>
      </c>
      <c r="N49" s="3">
        <v>616.5</v>
      </c>
      <c r="O49" s="3" t="s">
        <v>265</v>
      </c>
      <c r="P49" s="3" t="s">
        <v>25</v>
      </c>
      <c r="Q49" s="3" t="s">
        <v>4664</v>
      </c>
    </row>
    <row r="50" spans="1:17">
      <c r="A50" s="3">
        <v>335096</v>
      </c>
      <c r="B50" s="3" t="s">
        <v>266</v>
      </c>
      <c r="C50" s="3" t="str">
        <f>"9780521710213"</f>
        <v>9780521710213</v>
      </c>
      <c r="D50" s="3" t="str">
        <f>"9780511384769"</f>
        <v>9780511384769</v>
      </c>
      <c r="E50" s="3" t="s">
        <v>41</v>
      </c>
      <c r="F50" s="3" t="s">
        <v>41</v>
      </c>
      <c r="G50" s="4">
        <v>39527</v>
      </c>
      <c r="H50" s="3" t="s">
        <v>20</v>
      </c>
      <c r="I50" s="3">
        <v>2</v>
      </c>
      <c r="J50" s="3"/>
      <c r="K50" s="3" t="s">
        <v>267</v>
      </c>
      <c r="L50" s="3" t="s">
        <v>204</v>
      </c>
      <c r="M50" s="3" t="s">
        <v>268</v>
      </c>
      <c r="N50" s="3">
        <v>617.91</v>
      </c>
      <c r="O50" s="3" t="s">
        <v>269</v>
      </c>
      <c r="P50" s="3" t="s">
        <v>25</v>
      </c>
      <c r="Q50" s="3" t="s">
        <v>4665</v>
      </c>
    </row>
    <row r="51" spans="1:17">
      <c r="A51" s="3">
        <v>336080</v>
      </c>
      <c r="B51" s="3" t="s">
        <v>270</v>
      </c>
      <c r="C51" s="3" t="str">
        <f>"9780521846738"</f>
        <v>9780521846738</v>
      </c>
      <c r="D51" s="3" t="str">
        <f>"9780511392283"</f>
        <v>9780511392283</v>
      </c>
      <c r="E51" s="3" t="s">
        <v>41</v>
      </c>
      <c r="F51" s="3" t="s">
        <v>41</v>
      </c>
      <c r="G51" s="4">
        <v>39545</v>
      </c>
      <c r="H51" s="3" t="s">
        <v>20</v>
      </c>
      <c r="I51" s="3"/>
      <c r="J51" s="3" t="s">
        <v>134</v>
      </c>
      <c r="K51" s="3" t="s">
        <v>271</v>
      </c>
      <c r="L51" s="3" t="s">
        <v>22</v>
      </c>
      <c r="M51" s="3" t="s">
        <v>272</v>
      </c>
      <c r="N51" s="3">
        <v>821.90994149999995</v>
      </c>
      <c r="O51" s="3" t="s">
        <v>273</v>
      </c>
      <c r="P51" s="3" t="s">
        <v>25</v>
      </c>
      <c r="Q51" s="3" t="s">
        <v>4666</v>
      </c>
    </row>
    <row r="52" spans="1:17">
      <c r="A52" s="3">
        <v>336085</v>
      </c>
      <c r="B52" s="3" t="s">
        <v>274</v>
      </c>
      <c r="C52" s="3" t="str">
        <f>"9780521854627"</f>
        <v>9780521854627</v>
      </c>
      <c r="D52" s="3" t="str">
        <f>"9780511392313"</f>
        <v>9780511392313</v>
      </c>
      <c r="E52" s="3" t="s">
        <v>41</v>
      </c>
      <c r="F52" s="3" t="s">
        <v>41</v>
      </c>
      <c r="G52" s="4">
        <v>39545</v>
      </c>
      <c r="H52" s="3" t="s">
        <v>20</v>
      </c>
      <c r="I52" s="3"/>
      <c r="J52" s="3" t="s">
        <v>134</v>
      </c>
      <c r="K52" s="3" t="s">
        <v>275</v>
      </c>
      <c r="L52" s="3" t="s">
        <v>22</v>
      </c>
      <c r="M52" s="3" t="s">
        <v>276</v>
      </c>
      <c r="N52" s="3">
        <v>823.8</v>
      </c>
      <c r="O52" s="3" t="s">
        <v>277</v>
      </c>
      <c r="P52" s="3" t="s">
        <v>25</v>
      </c>
      <c r="Q52" s="3" t="s">
        <v>4667</v>
      </c>
    </row>
    <row r="53" spans="1:17">
      <c r="A53" s="3">
        <v>336086</v>
      </c>
      <c r="B53" s="3" t="s">
        <v>278</v>
      </c>
      <c r="C53" s="3" t="str">
        <f>"9780521855464"</f>
        <v>9780521855464</v>
      </c>
      <c r="D53" s="3" t="str">
        <f>"9780511392320"</f>
        <v>9780511392320</v>
      </c>
      <c r="E53" s="3" t="s">
        <v>41</v>
      </c>
      <c r="F53" s="3" t="s">
        <v>41</v>
      </c>
      <c r="G53" s="4">
        <v>39555</v>
      </c>
      <c r="H53" s="3" t="s">
        <v>20</v>
      </c>
      <c r="I53" s="3"/>
      <c r="J53" s="3" t="s">
        <v>134</v>
      </c>
      <c r="K53" s="3" t="s">
        <v>279</v>
      </c>
      <c r="L53" s="3" t="s">
        <v>22</v>
      </c>
      <c r="M53" s="3" t="s">
        <v>280</v>
      </c>
      <c r="N53" s="3">
        <v>813.52</v>
      </c>
      <c r="O53" s="3" t="s">
        <v>281</v>
      </c>
      <c r="P53" s="3" t="s">
        <v>25</v>
      </c>
      <c r="Q53" s="3" t="s">
        <v>4668</v>
      </c>
    </row>
    <row r="54" spans="1:17">
      <c r="A54" s="3">
        <v>336089</v>
      </c>
      <c r="B54" s="3" t="s">
        <v>282</v>
      </c>
      <c r="C54" s="3" t="str">
        <f>"9780521856683"</f>
        <v>9780521856683</v>
      </c>
      <c r="D54" s="3" t="str">
        <f>"9780511392160"</f>
        <v>9780511392160</v>
      </c>
      <c r="E54" s="3" t="s">
        <v>41</v>
      </c>
      <c r="F54" s="3" t="s">
        <v>41</v>
      </c>
      <c r="G54" s="4">
        <v>39555</v>
      </c>
      <c r="H54" s="3" t="s">
        <v>20</v>
      </c>
      <c r="I54" s="3"/>
      <c r="J54" s="3" t="s">
        <v>134</v>
      </c>
      <c r="K54" s="3" t="s">
        <v>283</v>
      </c>
      <c r="L54" s="3" t="s">
        <v>22</v>
      </c>
      <c r="M54" s="3" t="s">
        <v>284</v>
      </c>
      <c r="N54" s="3" t="s">
        <v>29</v>
      </c>
      <c r="O54" s="3" t="s">
        <v>285</v>
      </c>
      <c r="P54" s="3" t="s">
        <v>25</v>
      </c>
      <c r="Q54" s="3" t="s">
        <v>4669</v>
      </c>
    </row>
    <row r="55" spans="1:17">
      <c r="A55" s="3">
        <v>343497</v>
      </c>
      <c r="B55" s="3" t="s">
        <v>286</v>
      </c>
      <c r="C55" s="3" t="str">
        <f>"9780521850063"</f>
        <v>9780521850063</v>
      </c>
      <c r="D55" s="3" t="str">
        <f>"9780511399640"</f>
        <v>9780511399640</v>
      </c>
      <c r="E55" s="3" t="s">
        <v>41</v>
      </c>
      <c r="F55" s="3" t="s">
        <v>41</v>
      </c>
      <c r="G55" s="4">
        <v>39597</v>
      </c>
      <c r="H55" s="3" t="s">
        <v>20</v>
      </c>
      <c r="I55" s="3">
        <v>3</v>
      </c>
      <c r="J55" s="3"/>
      <c r="K55" s="3" t="s">
        <v>287</v>
      </c>
      <c r="L55" s="3" t="s">
        <v>288</v>
      </c>
      <c r="M55" s="3" t="s">
        <v>289</v>
      </c>
      <c r="N55" s="3">
        <v>660.65</v>
      </c>
      <c r="O55" s="3" t="s">
        <v>290</v>
      </c>
      <c r="P55" s="3" t="s">
        <v>25</v>
      </c>
      <c r="Q55" s="3" t="s">
        <v>4670</v>
      </c>
    </row>
    <row r="56" spans="1:17">
      <c r="A56" s="3">
        <v>347170</v>
      </c>
      <c r="B56" s="3" t="s">
        <v>291</v>
      </c>
      <c r="C56" s="3" t="str">
        <f>"9780521700139"</f>
        <v>9780521700139</v>
      </c>
      <c r="D56" s="3" t="str">
        <f>"9780511408052"</f>
        <v>9780511408052</v>
      </c>
      <c r="E56" s="3" t="s">
        <v>41</v>
      </c>
      <c r="F56" s="3" t="s">
        <v>41</v>
      </c>
      <c r="G56" s="4">
        <v>39611</v>
      </c>
      <c r="H56" s="3" t="s">
        <v>20</v>
      </c>
      <c r="I56" s="3"/>
      <c r="J56" s="3"/>
      <c r="K56" s="3" t="s">
        <v>292</v>
      </c>
      <c r="L56" s="3" t="s">
        <v>204</v>
      </c>
      <c r="M56" s="3" t="s">
        <v>293</v>
      </c>
      <c r="N56" s="3">
        <v>617.10757000000001</v>
      </c>
      <c r="O56" s="3" t="s">
        <v>294</v>
      </c>
      <c r="P56" s="3" t="s">
        <v>25</v>
      </c>
      <c r="Q56" s="3" t="s">
        <v>4671</v>
      </c>
    </row>
    <row r="57" spans="1:17">
      <c r="A57" s="3">
        <v>347204</v>
      </c>
      <c r="B57" s="3" t="s">
        <v>295</v>
      </c>
      <c r="C57" s="3" t="str">
        <f>"9780521876933"</f>
        <v>9780521876933</v>
      </c>
      <c r="D57" s="3" t="str">
        <f>"9780511407864"</f>
        <v>9780511407864</v>
      </c>
      <c r="E57" s="3" t="s">
        <v>41</v>
      </c>
      <c r="F57" s="3" t="s">
        <v>41</v>
      </c>
      <c r="G57" s="4">
        <v>39604</v>
      </c>
      <c r="H57" s="3" t="s">
        <v>20</v>
      </c>
      <c r="I57" s="3"/>
      <c r="J57" s="3"/>
      <c r="K57" s="3" t="s">
        <v>296</v>
      </c>
      <c r="L57" s="3" t="s">
        <v>297</v>
      </c>
      <c r="M57" s="3" t="s">
        <v>298</v>
      </c>
      <c r="N57" s="3">
        <v>571.6</v>
      </c>
      <c r="O57" s="3" t="s">
        <v>299</v>
      </c>
      <c r="P57" s="3" t="s">
        <v>25</v>
      </c>
      <c r="Q57" s="3" t="s">
        <v>4672</v>
      </c>
    </row>
    <row r="58" spans="1:17">
      <c r="A58" s="3">
        <v>350889</v>
      </c>
      <c r="B58" s="3" t="s">
        <v>300</v>
      </c>
      <c r="C58" s="3" t="str">
        <f>"9780631210580"</f>
        <v>9780631210580</v>
      </c>
      <c r="D58" s="3" t="str">
        <f>"9780470756447"</f>
        <v>9780470756447</v>
      </c>
      <c r="E58" s="3" t="s">
        <v>32</v>
      </c>
      <c r="F58" s="3" t="s">
        <v>33</v>
      </c>
      <c r="G58" s="4">
        <v>36623</v>
      </c>
      <c r="H58" s="3" t="s">
        <v>20</v>
      </c>
      <c r="I58" s="3">
        <v>1</v>
      </c>
      <c r="J58" s="3" t="s">
        <v>301</v>
      </c>
      <c r="K58" s="3" t="s">
        <v>302</v>
      </c>
      <c r="L58" s="3" t="s">
        <v>58</v>
      </c>
      <c r="M58" s="3" t="s">
        <v>303</v>
      </c>
      <c r="N58" s="3">
        <v>973.3</v>
      </c>
      <c r="O58" s="3" t="s">
        <v>304</v>
      </c>
      <c r="P58" s="3" t="s">
        <v>25</v>
      </c>
      <c r="Q58" s="3" t="s">
        <v>4673</v>
      </c>
    </row>
    <row r="59" spans="1:17">
      <c r="A59" s="3">
        <v>352967</v>
      </c>
      <c r="B59" s="3" t="s">
        <v>305</v>
      </c>
      <c r="C59" s="3" t="str">
        <f>"9780521844697"</f>
        <v>9780521844697</v>
      </c>
      <c r="D59" s="3" t="str">
        <f>"9780511412844"</f>
        <v>9780511412844</v>
      </c>
      <c r="E59" s="3" t="s">
        <v>41</v>
      </c>
      <c r="F59" s="3" t="s">
        <v>41</v>
      </c>
      <c r="G59" s="4">
        <v>39639</v>
      </c>
      <c r="H59" s="3" t="s">
        <v>20</v>
      </c>
      <c r="I59" s="3"/>
      <c r="J59" s="3" t="s">
        <v>134</v>
      </c>
      <c r="K59" s="3" t="s">
        <v>306</v>
      </c>
      <c r="L59" s="3" t="s">
        <v>22</v>
      </c>
      <c r="M59" s="3" t="s">
        <v>307</v>
      </c>
      <c r="N59" s="3">
        <v>891.70899999999995</v>
      </c>
      <c r="O59" s="3" t="s">
        <v>308</v>
      </c>
      <c r="P59" s="3" t="s">
        <v>25</v>
      </c>
      <c r="Q59" s="3" t="s">
        <v>4674</v>
      </c>
    </row>
    <row r="60" spans="1:17">
      <c r="A60" s="3">
        <v>355433</v>
      </c>
      <c r="B60" s="3" t="s">
        <v>309</v>
      </c>
      <c r="C60" s="3" t="str">
        <f>"9780521682428"</f>
        <v>9780521682428</v>
      </c>
      <c r="D60" s="3" t="str">
        <f>"9780511422331"</f>
        <v>9780511422331</v>
      </c>
      <c r="E60" s="3" t="s">
        <v>41</v>
      </c>
      <c r="F60" s="3" t="s">
        <v>41</v>
      </c>
      <c r="G60" s="4">
        <v>39590</v>
      </c>
      <c r="H60" s="3" t="s">
        <v>20</v>
      </c>
      <c r="I60" s="3"/>
      <c r="J60" s="3"/>
      <c r="K60" s="3" t="s">
        <v>310</v>
      </c>
      <c r="L60" s="3" t="s">
        <v>204</v>
      </c>
      <c r="M60" s="3" t="s">
        <v>311</v>
      </c>
      <c r="N60" s="3" t="s">
        <v>312</v>
      </c>
      <c r="O60" s="3" t="s">
        <v>313</v>
      </c>
      <c r="P60" s="3" t="s">
        <v>25</v>
      </c>
      <c r="Q60" s="3" t="s">
        <v>4675</v>
      </c>
    </row>
    <row r="61" spans="1:17">
      <c r="A61" s="3">
        <v>355435</v>
      </c>
      <c r="B61" s="3" t="s">
        <v>314</v>
      </c>
      <c r="C61" s="3" t="str">
        <f>"9780521705677"</f>
        <v>9780521705677</v>
      </c>
      <c r="D61" s="3" t="str">
        <f>"9780511422348"</f>
        <v>9780511422348</v>
      </c>
      <c r="E61" s="3" t="s">
        <v>41</v>
      </c>
      <c r="F61" s="3" t="s">
        <v>41</v>
      </c>
      <c r="G61" s="4">
        <v>39597</v>
      </c>
      <c r="H61" s="3" t="s">
        <v>20</v>
      </c>
      <c r="I61" s="3"/>
      <c r="J61" s="3" t="s">
        <v>315</v>
      </c>
      <c r="K61" s="3" t="s">
        <v>316</v>
      </c>
      <c r="L61" s="3" t="s">
        <v>317</v>
      </c>
      <c r="M61" s="3" t="s">
        <v>318</v>
      </c>
      <c r="N61" s="3" t="s">
        <v>319</v>
      </c>
      <c r="O61" s="3" t="s">
        <v>320</v>
      </c>
      <c r="P61" s="3" t="s">
        <v>25</v>
      </c>
      <c r="Q61" s="3" t="s">
        <v>4676</v>
      </c>
    </row>
    <row r="62" spans="1:17">
      <c r="A62" s="3">
        <v>358848</v>
      </c>
      <c r="B62" s="3" t="s">
        <v>321</v>
      </c>
      <c r="C62" s="3" t="str">
        <f>"9780521604086"</f>
        <v>9780521604086</v>
      </c>
      <c r="D62" s="3" t="str">
        <f>"9780511428258"</f>
        <v>9780511428258</v>
      </c>
      <c r="E62" s="3" t="s">
        <v>41</v>
      </c>
      <c r="F62" s="3" t="s">
        <v>41</v>
      </c>
      <c r="G62" s="4">
        <v>39709</v>
      </c>
      <c r="H62" s="3" t="s">
        <v>20</v>
      </c>
      <c r="I62" s="3">
        <v>4</v>
      </c>
      <c r="J62" s="3"/>
      <c r="K62" s="3" t="s">
        <v>322</v>
      </c>
      <c r="L62" s="3" t="s">
        <v>317</v>
      </c>
      <c r="M62" s="3" t="s">
        <v>323</v>
      </c>
      <c r="N62" s="3">
        <v>616.89</v>
      </c>
      <c r="O62" s="3" t="s">
        <v>324</v>
      </c>
      <c r="P62" s="3" t="s">
        <v>25</v>
      </c>
      <c r="Q62" s="3" t="s">
        <v>4677</v>
      </c>
    </row>
    <row r="63" spans="1:17">
      <c r="A63" s="3">
        <v>358855</v>
      </c>
      <c r="B63" s="3" t="s">
        <v>325</v>
      </c>
      <c r="C63" s="3" t="str">
        <f>"9780521854115"</f>
        <v>9780521854115</v>
      </c>
      <c r="D63" s="3" t="str">
        <f>"9780511428302"</f>
        <v>9780511428302</v>
      </c>
      <c r="E63" s="3" t="s">
        <v>41</v>
      </c>
      <c r="F63" s="3" t="s">
        <v>41</v>
      </c>
      <c r="G63" s="4">
        <v>39702</v>
      </c>
      <c r="H63" s="3" t="s">
        <v>20</v>
      </c>
      <c r="I63" s="3"/>
      <c r="J63" s="3" t="s">
        <v>134</v>
      </c>
      <c r="K63" s="3" t="s">
        <v>326</v>
      </c>
      <c r="L63" s="3" t="s">
        <v>22</v>
      </c>
      <c r="M63" s="3" t="s">
        <v>327</v>
      </c>
      <c r="N63" s="3" t="s">
        <v>142</v>
      </c>
      <c r="O63" s="3" t="s">
        <v>328</v>
      </c>
      <c r="P63" s="3" t="s">
        <v>25</v>
      </c>
      <c r="Q63" s="3" t="s">
        <v>4678</v>
      </c>
    </row>
    <row r="64" spans="1:17">
      <c r="A64" s="3">
        <v>358856</v>
      </c>
      <c r="B64" s="3" t="s">
        <v>329</v>
      </c>
      <c r="C64" s="3" t="str">
        <f>"9780521854573"</f>
        <v>9780521854573</v>
      </c>
      <c r="D64" s="3" t="str">
        <f>"9780511428319"</f>
        <v>9780511428319</v>
      </c>
      <c r="E64" s="3" t="s">
        <v>41</v>
      </c>
      <c r="F64" s="3" t="s">
        <v>41</v>
      </c>
      <c r="G64" s="4">
        <v>39702</v>
      </c>
      <c r="H64" s="3" t="s">
        <v>20</v>
      </c>
      <c r="I64" s="3"/>
      <c r="J64" s="3" t="s">
        <v>134</v>
      </c>
      <c r="K64" s="3" t="s">
        <v>330</v>
      </c>
      <c r="L64" s="3" t="s">
        <v>22</v>
      </c>
      <c r="M64" s="3" t="s">
        <v>331</v>
      </c>
      <c r="N64" s="3" t="s">
        <v>147</v>
      </c>
      <c r="O64" s="3" t="s">
        <v>332</v>
      </c>
      <c r="P64" s="3" t="s">
        <v>25</v>
      </c>
      <c r="Q64" s="3" t="s">
        <v>4679</v>
      </c>
    </row>
    <row r="65" spans="1:17">
      <c r="A65" s="3">
        <v>358859</v>
      </c>
      <c r="B65" s="3" t="s">
        <v>333</v>
      </c>
      <c r="C65" s="3" t="str">
        <f>"9780521859677"</f>
        <v>9780521859677</v>
      </c>
      <c r="D65" s="3" t="str">
        <f>"9780511428340"</f>
        <v>9780511428340</v>
      </c>
      <c r="E65" s="3" t="s">
        <v>41</v>
      </c>
      <c r="F65" s="3" t="s">
        <v>41</v>
      </c>
      <c r="G65" s="4">
        <v>39702</v>
      </c>
      <c r="H65" s="3" t="s">
        <v>20</v>
      </c>
      <c r="I65" s="3"/>
      <c r="J65" s="3" t="s">
        <v>134</v>
      </c>
      <c r="K65" s="3" t="s">
        <v>334</v>
      </c>
      <c r="L65" s="3" t="s">
        <v>22</v>
      </c>
      <c r="M65" s="3" t="s">
        <v>335</v>
      </c>
      <c r="N65" s="3" t="s">
        <v>336</v>
      </c>
      <c r="O65" s="3" t="s">
        <v>337</v>
      </c>
      <c r="P65" s="3" t="s">
        <v>25</v>
      </c>
      <c r="Q65" s="3" t="s">
        <v>4680</v>
      </c>
    </row>
    <row r="66" spans="1:17">
      <c r="A66" s="3">
        <v>358860</v>
      </c>
      <c r="B66" s="3" t="s">
        <v>338</v>
      </c>
      <c r="C66" s="3" t="str">
        <f>"9780521864435"</f>
        <v>9780521864435</v>
      </c>
      <c r="D66" s="3" t="str">
        <f>"9780511428357"</f>
        <v>9780511428357</v>
      </c>
      <c r="E66" s="3" t="s">
        <v>41</v>
      </c>
      <c r="F66" s="3" t="s">
        <v>41</v>
      </c>
      <c r="G66" s="4">
        <v>39702</v>
      </c>
      <c r="H66" s="3" t="s">
        <v>20</v>
      </c>
      <c r="I66" s="3"/>
      <c r="J66" s="3" t="s">
        <v>134</v>
      </c>
      <c r="K66" s="3" t="s">
        <v>339</v>
      </c>
      <c r="L66" s="3" t="s">
        <v>182</v>
      </c>
      <c r="M66" s="3" t="s">
        <v>340</v>
      </c>
      <c r="N66" s="3">
        <v>194</v>
      </c>
      <c r="O66" s="3" t="s">
        <v>341</v>
      </c>
      <c r="P66" s="3" t="s">
        <v>25</v>
      </c>
      <c r="Q66" s="3" t="s">
        <v>4681</v>
      </c>
    </row>
    <row r="67" spans="1:17">
      <c r="A67" s="3">
        <v>358861</v>
      </c>
      <c r="B67" s="3" t="s">
        <v>342</v>
      </c>
      <c r="C67" s="3" t="str">
        <f>"9780521864589"</f>
        <v>9780521864589</v>
      </c>
      <c r="D67" s="3" t="str">
        <f>"9780511428364"</f>
        <v>9780511428364</v>
      </c>
      <c r="E67" s="3" t="s">
        <v>41</v>
      </c>
      <c r="F67" s="3" t="s">
        <v>41</v>
      </c>
      <c r="G67" s="4">
        <v>39702</v>
      </c>
      <c r="H67" s="3" t="s">
        <v>20</v>
      </c>
      <c r="I67" s="3"/>
      <c r="J67" s="3" t="s">
        <v>134</v>
      </c>
      <c r="K67" s="3" t="s">
        <v>343</v>
      </c>
      <c r="L67" s="3" t="s">
        <v>22</v>
      </c>
      <c r="M67" s="3" t="s">
        <v>344</v>
      </c>
      <c r="N67" s="3">
        <v>838.91209000000003</v>
      </c>
      <c r="O67" s="3" t="s">
        <v>345</v>
      </c>
      <c r="P67" s="3" t="s">
        <v>25</v>
      </c>
      <c r="Q67" s="3" t="s">
        <v>4682</v>
      </c>
    </row>
    <row r="68" spans="1:17">
      <c r="A68" s="3">
        <v>358863</v>
      </c>
      <c r="B68" s="3" t="s">
        <v>346</v>
      </c>
      <c r="C68" s="3" t="str">
        <f>"9780521867269"</f>
        <v>9780521867269</v>
      </c>
      <c r="D68" s="3" t="str">
        <f>"9780511428388"</f>
        <v>9780511428388</v>
      </c>
      <c r="E68" s="3" t="s">
        <v>41</v>
      </c>
      <c r="F68" s="3" t="s">
        <v>41</v>
      </c>
      <c r="G68" s="4">
        <v>39702</v>
      </c>
      <c r="H68" s="3" t="s">
        <v>20</v>
      </c>
      <c r="I68" s="3"/>
      <c r="J68" s="3" t="s">
        <v>134</v>
      </c>
      <c r="K68" s="3" t="s">
        <v>347</v>
      </c>
      <c r="L68" s="3" t="s">
        <v>22</v>
      </c>
      <c r="M68" s="3" t="s">
        <v>348</v>
      </c>
      <c r="N68" s="3" t="s">
        <v>349</v>
      </c>
      <c r="O68" s="3" t="s">
        <v>350</v>
      </c>
      <c r="P68" s="3" t="s">
        <v>25</v>
      </c>
      <c r="Q68" s="3" t="s">
        <v>4683</v>
      </c>
    </row>
    <row r="69" spans="1:17">
      <c r="A69" s="3">
        <v>359371</v>
      </c>
      <c r="B69" s="3" t="s">
        <v>351</v>
      </c>
      <c r="C69" s="3" t="str">
        <f>"9789221157311"</f>
        <v>9789221157311</v>
      </c>
      <c r="D69" s="3" t="str">
        <f>"9789221174745"</f>
        <v>9789221174745</v>
      </c>
      <c r="E69" s="3" t="s">
        <v>352</v>
      </c>
      <c r="F69" s="3" t="s">
        <v>352</v>
      </c>
      <c r="G69" s="4">
        <v>38353</v>
      </c>
      <c r="H69" s="3" t="s">
        <v>20</v>
      </c>
      <c r="I69" s="3">
        <v>1</v>
      </c>
      <c r="J69" s="3"/>
      <c r="K69" s="3" t="s">
        <v>353</v>
      </c>
      <c r="L69" s="3" t="s">
        <v>354</v>
      </c>
      <c r="M69" s="3" t="s">
        <v>355</v>
      </c>
      <c r="N69" s="3" t="s">
        <v>356</v>
      </c>
      <c r="O69" s="3" t="s">
        <v>357</v>
      </c>
      <c r="P69" s="3" t="s">
        <v>25</v>
      </c>
      <c r="Q69" s="3" t="s">
        <v>4684</v>
      </c>
    </row>
    <row r="70" spans="1:17">
      <c r="A70" s="3">
        <v>361918</v>
      </c>
      <c r="B70" s="3" t="s">
        <v>358</v>
      </c>
      <c r="C70" s="3" t="str">
        <f>"9781593393724"</f>
        <v>9781593393724</v>
      </c>
      <c r="D70" s="3" t="str">
        <f>"9781593394769"</f>
        <v>9781593394769</v>
      </c>
      <c r="E70" s="3" t="s">
        <v>359</v>
      </c>
      <c r="F70" s="3" t="s">
        <v>360</v>
      </c>
      <c r="G70" s="4">
        <v>39449</v>
      </c>
      <c r="H70" s="3" t="s">
        <v>20</v>
      </c>
      <c r="I70" s="3">
        <v>1</v>
      </c>
      <c r="J70" s="3"/>
      <c r="K70" s="3" t="s">
        <v>361</v>
      </c>
      <c r="L70" s="3" t="s">
        <v>362</v>
      </c>
      <c r="M70" s="3" t="s">
        <v>363</v>
      </c>
      <c r="N70" s="3"/>
      <c r="O70" s="3" t="s">
        <v>364</v>
      </c>
      <c r="P70" s="3" t="s">
        <v>25</v>
      </c>
      <c r="Q70" s="3" t="s">
        <v>4685</v>
      </c>
    </row>
    <row r="71" spans="1:17">
      <c r="A71" s="3">
        <v>362155</v>
      </c>
      <c r="B71" s="3" t="s">
        <v>365</v>
      </c>
      <c r="C71" s="3" t="str">
        <f>"9780470110065"</f>
        <v>9780470110065</v>
      </c>
      <c r="D71" s="3" t="str">
        <f>"9780470386156"</f>
        <v>9780470386156</v>
      </c>
      <c r="E71" s="3" t="s">
        <v>32</v>
      </c>
      <c r="F71" s="3" t="s">
        <v>32</v>
      </c>
      <c r="G71" s="4">
        <v>39734</v>
      </c>
      <c r="H71" s="3" t="s">
        <v>20</v>
      </c>
      <c r="I71" s="3">
        <v>1</v>
      </c>
      <c r="J71" s="3"/>
      <c r="K71" s="3" t="s">
        <v>366</v>
      </c>
      <c r="L71" s="3" t="s">
        <v>317</v>
      </c>
      <c r="M71" s="3" t="s">
        <v>367</v>
      </c>
      <c r="N71" s="3" t="s">
        <v>368</v>
      </c>
      <c r="O71" s="3" t="s">
        <v>369</v>
      </c>
      <c r="P71" s="3" t="s">
        <v>25</v>
      </c>
      <c r="Q71" s="3" t="s">
        <v>4686</v>
      </c>
    </row>
    <row r="72" spans="1:17">
      <c r="A72" s="3">
        <v>367053</v>
      </c>
      <c r="B72" s="3" t="s">
        <v>370</v>
      </c>
      <c r="C72" s="3" t="str">
        <f>"9780521841061"</f>
        <v>9780521841061</v>
      </c>
      <c r="D72" s="3" t="str">
        <f>"9780511435959"</f>
        <v>9780511435959</v>
      </c>
      <c r="E72" s="3" t="s">
        <v>41</v>
      </c>
      <c r="F72" s="3" t="s">
        <v>41</v>
      </c>
      <c r="G72" s="4">
        <v>39713</v>
      </c>
      <c r="H72" s="3" t="s">
        <v>20</v>
      </c>
      <c r="I72" s="3"/>
      <c r="J72" s="3" t="s">
        <v>62</v>
      </c>
      <c r="K72" s="3" t="s">
        <v>371</v>
      </c>
      <c r="L72" s="3" t="s">
        <v>372</v>
      </c>
      <c r="M72" s="3" t="s">
        <v>373</v>
      </c>
      <c r="N72" s="3">
        <v>121</v>
      </c>
      <c r="O72" s="3" t="s">
        <v>374</v>
      </c>
      <c r="P72" s="3" t="s">
        <v>25</v>
      </c>
      <c r="Q72" s="3" t="s">
        <v>4687</v>
      </c>
    </row>
    <row r="73" spans="1:17">
      <c r="A73" s="3">
        <v>410136</v>
      </c>
      <c r="B73" s="3" t="s">
        <v>375</v>
      </c>
      <c r="C73" s="3" t="str">
        <f>"9780521766289"</f>
        <v>9780521766289</v>
      </c>
      <c r="D73" s="3" t="str">
        <f>"9780511463013"</f>
        <v>9780511463013</v>
      </c>
      <c r="E73" s="3" t="s">
        <v>41</v>
      </c>
      <c r="F73" s="3" t="s">
        <v>41</v>
      </c>
      <c r="G73" s="4">
        <v>39825</v>
      </c>
      <c r="H73" s="3" t="s">
        <v>20</v>
      </c>
      <c r="I73" s="3"/>
      <c r="J73" s="3"/>
      <c r="K73" s="3" t="s">
        <v>376</v>
      </c>
      <c r="L73" s="3" t="s">
        <v>204</v>
      </c>
      <c r="M73" s="3" t="s">
        <v>377</v>
      </c>
      <c r="N73" s="3" t="s">
        <v>378</v>
      </c>
      <c r="O73" s="3" t="s">
        <v>379</v>
      </c>
      <c r="P73" s="3" t="s">
        <v>25</v>
      </c>
      <c r="Q73" s="3" t="s">
        <v>4688</v>
      </c>
    </row>
    <row r="74" spans="1:17">
      <c r="A74" s="3">
        <v>410173</v>
      </c>
      <c r="B74" s="3" t="s">
        <v>380</v>
      </c>
      <c r="C74" s="3" t="str">
        <f>"9780521516815"</f>
        <v>9780521516815</v>
      </c>
      <c r="D74" s="3" t="str">
        <f>"9780511462986"</f>
        <v>9780511462986</v>
      </c>
      <c r="E74" s="3" t="s">
        <v>41</v>
      </c>
      <c r="F74" s="3" t="s">
        <v>41</v>
      </c>
      <c r="G74" s="4">
        <v>39825</v>
      </c>
      <c r="H74" s="3" t="s">
        <v>20</v>
      </c>
      <c r="I74" s="3"/>
      <c r="J74" s="3"/>
      <c r="K74" s="3" t="s">
        <v>381</v>
      </c>
      <c r="L74" s="3" t="s">
        <v>204</v>
      </c>
      <c r="M74" s="3" t="s">
        <v>382</v>
      </c>
      <c r="N74" s="3">
        <v>616.07899999999995</v>
      </c>
      <c r="O74" s="3" t="s">
        <v>383</v>
      </c>
      <c r="P74" s="3" t="s">
        <v>25</v>
      </c>
      <c r="Q74" s="3" t="s">
        <v>4689</v>
      </c>
    </row>
    <row r="75" spans="1:17">
      <c r="A75" s="3">
        <v>412741</v>
      </c>
      <c r="B75" s="3" t="s">
        <v>384</v>
      </c>
      <c r="C75" s="3" t="str">
        <f>"9780521700146"</f>
        <v>9780521700146</v>
      </c>
      <c r="D75" s="3" t="str">
        <f>"9780511477683"</f>
        <v>9780511477683</v>
      </c>
      <c r="E75" s="3" t="s">
        <v>41</v>
      </c>
      <c r="F75" s="3" t="s">
        <v>41</v>
      </c>
      <c r="G75" s="4">
        <v>39856</v>
      </c>
      <c r="H75" s="3" t="s">
        <v>20</v>
      </c>
      <c r="I75" s="3"/>
      <c r="J75" s="3"/>
      <c r="K75" s="3" t="s">
        <v>385</v>
      </c>
      <c r="L75" s="3" t="s">
        <v>204</v>
      </c>
      <c r="M75" s="3" t="s">
        <v>386</v>
      </c>
      <c r="N75" s="3">
        <v>617.55075699999998</v>
      </c>
      <c r="O75" s="3" t="s">
        <v>387</v>
      </c>
      <c r="P75" s="3" t="s">
        <v>25</v>
      </c>
      <c r="Q75" s="3" t="s">
        <v>4690</v>
      </c>
    </row>
    <row r="76" spans="1:17">
      <c r="A76" s="3">
        <v>412801</v>
      </c>
      <c r="B76" s="3" t="s">
        <v>388</v>
      </c>
      <c r="C76" s="3" t="str">
        <f>"9780521843256"</f>
        <v>9780521843256</v>
      </c>
      <c r="D76" s="3" t="str">
        <f>"9780511477102"</f>
        <v>9780511477102</v>
      </c>
      <c r="E76" s="3" t="s">
        <v>41</v>
      </c>
      <c r="F76" s="3" t="s">
        <v>41</v>
      </c>
      <c r="G76" s="4">
        <v>39380</v>
      </c>
      <c r="H76" s="3" t="s">
        <v>20</v>
      </c>
      <c r="I76" s="3"/>
      <c r="J76" s="3" t="s">
        <v>134</v>
      </c>
      <c r="K76" s="3" t="s">
        <v>389</v>
      </c>
      <c r="L76" s="3" t="s">
        <v>22</v>
      </c>
      <c r="M76" s="3" t="s">
        <v>390</v>
      </c>
      <c r="N76" s="3">
        <v>813.40899999999999</v>
      </c>
      <c r="O76" s="3" t="s">
        <v>391</v>
      </c>
      <c r="P76" s="3" t="s">
        <v>25</v>
      </c>
      <c r="Q76" s="3" t="s">
        <v>4691</v>
      </c>
    </row>
    <row r="77" spans="1:17">
      <c r="A77" s="3">
        <v>412806</v>
      </c>
      <c r="B77" s="3" t="s">
        <v>392</v>
      </c>
      <c r="C77" s="3" t="str">
        <f>"9780521866453"</f>
        <v>9780521866453</v>
      </c>
      <c r="D77" s="3" t="str">
        <f>"9780511477034"</f>
        <v>9780511477034</v>
      </c>
      <c r="E77" s="3" t="s">
        <v>41</v>
      </c>
      <c r="F77" s="3" t="s">
        <v>41</v>
      </c>
      <c r="G77" s="4">
        <v>39513</v>
      </c>
      <c r="H77" s="3" t="s">
        <v>20</v>
      </c>
      <c r="I77" s="3">
        <v>4</v>
      </c>
      <c r="J77" s="3"/>
      <c r="K77" s="3" t="s">
        <v>393</v>
      </c>
      <c r="L77" s="3" t="s">
        <v>394</v>
      </c>
      <c r="M77" s="3" t="s">
        <v>395</v>
      </c>
      <c r="N77" s="3">
        <v>580.14</v>
      </c>
      <c r="O77" s="3" t="s">
        <v>396</v>
      </c>
      <c r="P77" s="3" t="s">
        <v>25</v>
      </c>
      <c r="Q77" s="3" t="s">
        <v>4692</v>
      </c>
    </row>
    <row r="78" spans="1:17">
      <c r="A78" s="3">
        <v>416345</v>
      </c>
      <c r="B78" s="3" t="s">
        <v>397</v>
      </c>
      <c r="C78" s="3" t="str">
        <f>"9781405145374"</f>
        <v>9781405145374</v>
      </c>
      <c r="D78" s="3" t="str">
        <f>"9781444304787"</f>
        <v>9781444304787</v>
      </c>
      <c r="E78" s="3" t="s">
        <v>32</v>
      </c>
      <c r="F78" s="3" t="s">
        <v>33</v>
      </c>
      <c r="G78" s="4">
        <v>39741</v>
      </c>
      <c r="H78" s="3" t="s">
        <v>20</v>
      </c>
      <c r="I78" s="3">
        <v>1</v>
      </c>
      <c r="J78" s="3" t="s">
        <v>398</v>
      </c>
      <c r="K78" s="3" t="s">
        <v>399</v>
      </c>
      <c r="L78" s="3" t="s">
        <v>22</v>
      </c>
      <c r="M78" s="3" t="s">
        <v>400</v>
      </c>
      <c r="N78" s="3" t="s">
        <v>401</v>
      </c>
      <c r="O78" s="3" t="s">
        <v>402</v>
      </c>
      <c r="P78" s="3" t="s">
        <v>25</v>
      </c>
      <c r="Q78" s="3" t="s">
        <v>4693</v>
      </c>
    </row>
    <row r="79" spans="1:17">
      <c r="A79" s="3">
        <v>416514</v>
      </c>
      <c r="B79" s="3" t="s">
        <v>403</v>
      </c>
      <c r="C79" s="3" t="str">
        <f>"9781405173636"</f>
        <v>9781405173636</v>
      </c>
      <c r="D79" s="3" t="str">
        <f>"9781444303667"</f>
        <v>9781444303667</v>
      </c>
      <c r="E79" s="3" t="s">
        <v>32</v>
      </c>
      <c r="F79" s="3" t="s">
        <v>33</v>
      </c>
      <c r="G79" s="4">
        <v>39833</v>
      </c>
      <c r="H79" s="3" t="s">
        <v>20</v>
      </c>
      <c r="I79" s="3">
        <v>1</v>
      </c>
      <c r="J79" s="3" t="s">
        <v>404</v>
      </c>
      <c r="K79" s="3" t="s">
        <v>405</v>
      </c>
      <c r="L79" s="3" t="s">
        <v>406</v>
      </c>
      <c r="M79" s="3" t="s">
        <v>407</v>
      </c>
      <c r="N79" s="3">
        <v>796.01</v>
      </c>
      <c r="O79" s="3" t="s">
        <v>408</v>
      </c>
      <c r="P79" s="3" t="s">
        <v>25</v>
      </c>
      <c r="Q79" s="3" t="s">
        <v>4694</v>
      </c>
    </row>
    <row r="80" spans="1:17">
      <c r="A80" s="3">
        <v>416539</v>
      </c>
      <c r="B80" s="3" t="s">
        <v>409</v>
      </c>
      <c r="C80" s="3" t="str">
        <f>"9781405184960"</f>
        <v>9781405184960</v>
      </c>
      <c r="D80" s="3" t="str">
        <f>"9781444305005"</f>
        <v>9781444305005</v>
      </c>
      <c r="E80" s="3" t="s">
        <v>32</v>
      </c>
      <c r="F80" s="3" t="s">
        <v>33</v>
      </c>
      <c r="G80" s="4">
        <v>39505</v>
      </c>
      <c r="H80" s="3" t="s">
        <v>20</v>
      </c>
      <c r="I80" s="3">
        <v>1</v>
      </c>
      <c r="J80" s="3" t="s">
        <v>410</v>
      </c>
      <c r="K80" s="3" t="s">
        <v>411</v>
      </c>
      <c r="L80" s="3" t="s">
        <v>64</v>
      </c>
      <c r="M80" s="3" t="s">
        <v>412</v>
      </c>
      <c r="N80" s="3">
        <v>300.10000000000002</v>
      </c>
      <c r="O80" s="3" t="s">
        <v>413</v>
      </c>
      <c r="P80" s="3" t="s">
        <v>25</v>
      </c>
      <c r="Q80" s="3" t="s">
        <v>4695</v>
      </c>
    </row>
    <row r="81" spans="1:17">
      <c r="A81" s="3">
        <v>424560</v>
      </c>
      <c r="B81" s="3" t="s">
        <v>414</v>
      </c>
      <c r="C81" s="3" t="str">
        <f>"9780521493437"</f>
        <v>9780521493437</v>
      </c>
      <c r="D81" s="3" t="str">
        <f>"9780511504884"</f>
        <v>9780511504884</v>
      </c>
      <c r="E81" s="3" t="s">
        <v>41</v>
      </c>
      <c r="F81" s="3" t="s">
        <v>41</v>
      </c>
      <c r="G81" s="4">
        <v>39863</v>
      </c>
      <c r="H81" s="3" t="s">
        <v>20</v>
      </c>
      <c r="I81" s="3"/>
      <c r="J81" s="3"/>
      <c r="K81" s="3" t="s">
        <v>415</v>
      </c>
      <c r="L81" s="3" t="s">
        <v>214</v>
      </c>
      <c r="M81" s="3" t="s">
        <v>416</v>
      </c>
      <c r="N81" s="3">
        <v>523.79999999999995</v>
      </c>
      <c r="O81" s="3" t="s">
        <v>417</v>
      </c>
      <c r="P81" s="3" t="s">
        <v>25</v>
      </c>
      <c r="Q81" s="3" t="s">
        <v>4696</v>
      </c>
    </row>
    <row r="82" spans="1:17">
      <c r="A82" s="3">
        <v>424562</v>
      </c>
      <c r="B82" s="3" t="s">
        <v>418</v>
      </c>
      <c r="C82" s="3" t="str">
        <f>"9780521862202"</f>
        <v>9780521862202</v>
      </c>
      <c r="D82" s="3" t="str">
        <f>"9780511504587"</f>
        <v>9780511504587</v>
      </c>
      <c r="E82" s="3" t="s">
        <v>41</v>
      </c>
      <c r="F82" s="3" t="s">
        <v>41</v>
      </c>
      <c r="G82" s="4">
        <v>39860</v>
      </c>
      <c r="H82" s="3" t="s">
        <v>20</v>
      </c>
      <c r="I82" s="3"/>
      <c r="J82" s="3" t="s">
        <v>62</v>
      </c>
      <c r="K82" s="3" t="s">
        <v>419</v>
      </c>
      <c r="L82" s="3" t="s">
        <v>420</v>
      </c>
      <c r="M82" s="3" t="s">
        <v>421</v>
      </c>
      <c r="N82" s="3">
        <v>302.2244</v>
      </c>
      <c r="O82" s="3" t="s">
        <v>422</v>
      </c>
      <c r="P82" s="3" t="s">
        <v>25</v>
      </c>
      <c r="Q82" s="3" t="s">
        <v>4697</v>
      </c>
    </row>
    <row r="83" spans="1:17">
      <c r="A83" s="3">
        <v>424597</v>
      </c>
      <c r="B83" s="3" t="s">
        <v>423</v>
      </c>
      <c r="C83" s="3" t="str">
        <f>"9780521864169"</f>
        <v>9780521864169</v>
      </c>
      <c r="D83" s="3" t="str">
        <f>"9780511504099"</f>
        <v>9780511504099</v>
      </c>
      <c r="E83" s="3" t="s">
        <v>41</v>
      </c>
      <c r="F83" s="3" t="s">
        <v>41</v>
      </c>
      <c r="G83" s="4">
        <v>39380</v>
      </c>
      <c r="H83" s="3" t="s">
        <v>20</v>
      </c>
      <c r="I83" s="3"/>
      <c r="J83" s="3" t="s">
        <v>134</v>
      </c>
      <c r="K83" s="3" t="s">
        <v>424</v>
      </c>
      <c r="L83" s="3" t="s">
        <v>182</v>
      </c>
      <c r="M83" s="3" t="s">
        <v>425</v>
      </c>
      <c r="N83" s="3">
        <v>194</v>
      </c>
      <c r="O83" s="3" t="s">
        <v>426</v>
      </c>
      <c r="P83" s="3" t="s">
        <v>25</v>
      </c>
      <c r="Q83" s="3" t="s">
        <v>4698</v>
      </c>
    </row>
    <row r="84" spans="1:17">
      <c r="A84" s="3">
        <v>424602</v>
      </c>
      <c r="B84" s="3" t="s">
        <v>427</v>
      </c>
      <c r="C84" s="3" t="str">
        <f>"9780521862592"</f>
        <v>9780521862592</v>
      </c>
      <c r="D84" s="3" t="str">
        <f>"9780511504082"</f>
        <v>9780511504082</v>
      </c>
      <c r="E84" s="3" t="s">
        <v>41</v>
      </c>
      <c r="F84" s="3" t="s">
        <v>41</v>
      </c>
      <c r="G84" s="4">
        <v>39387</v>
      </c>
      <c r="H84" s="3" t="s">
        <v>20</v>
      </c>
      <c r="I84" s="3"/>
      <c r="J84" s="3" t="s">
        <v>134</v>
      </c>
      <c r="K84" s="3" t="s">
        <v>428</v>
      </c>
      <c r="L84" s="3" t="s">
        <v>22</v>
      </c>
      <c r="M84" s="3" t="s">
        <v>429</v>
      </c>
      <c r="N84" s="3">
        <v>823.01089999999999</v>
      </c>
      <c r="O84" s="3" t="s">
        <v>430</v>
      </c>
      <c r="P84" s="3" t="s">
        <v>25</v>
      </c>
      <c r="Q84" s="3" t="s">
        <v>4699</v>
      </c>
    </row>
    <row r="85" spans="1:17">
      <c r="A85" s="3">
        <v>424605</v>
      </c>
      <c r="B85" s="3" t="s">
        <v>431</v>
      </c>
      <c r="C85" s="3" t="str">
        <f>"9780521833400"</f>
        <v>9780521833400</v>
      </c>
      <c r="D85" s="3" t="str">
        <f>"9780511504044"</f>
        <v>9780511504044</v>
      </c>
      <c r="E85" s="3" t="s">
        <v>41</v>
      </c>
      <c r="F85" s="3" t="s">
        <v>41</v>
      </c>
      <c r="G85" s="4">
        <v>39380</v>
      </c>
      <c r="H85" s="3" t="s">
        <v>20</v>
      </c>
      <c r="I85" s="3"/>
      <c r="J85" s="3" t="s">
        <v>134</v>
      </c>
      <c r="K85" s="3" t="s">
        <v>432</v>
      </c>
      <c r="L85" s="3" t="s">
        <v>22</v>
      </c>
      <c r="M85" s="3" t="s">
        <v>433</v>
      </c>
      <c r="N85" s="3">
        <v>820.9</v>
      </c>
      <c r="O85" s="3" t="s">
        <v>434</v>
      </c>
      <c r="P85" s="3" t="s">
        <v>25</v>
      </c>
      <c r="Q85" s="3" t="s">
        <v>4700</v>
      </c>
    </row>
    <row r="86" spans="1:17">
      <c r="A86" s="3">
        <v>427674</v>
      </c>
      <c r="B86" s="3" t="s">
        <v>435</v>
      </c>
      <c r="C86" s="3" t="str">
        <f>"9780470155745"</f>
        <v>9780470155745</v>
      </c>
      <c r="D86" s="3" t="str">
        <f>"9780470156186"</f>
        <v>9780470156186</v>
      </c>
      <c r="E86" s="3" t="s">
        <v>32</v>
      </c>
      <c r="F86" s="3" t="s">
        <v>32</v>
      </c>
      <c r="G86" s="4">
        <v>39812</v>
      </c>
      <c r="H86" s="3" t="s">
        <v>20</v>
      </c>
      <c r="I86" s="3">
        <v>2</v>
      </c>
      <c r="J86" s="3"/>
      <c r="K86" s="3" t="s">
        <v>436</v>
      </c>
      <c r="L86" s="3" t="s">
        <v>437</v>
      </c>
      <c r="M86" s="3" t="s">
        <v>438</v>
      </c>
      <c r="N86" s="3" t="s">
        <v>439</v>
      </c>
      <c r="O86" s="3" t="s">
        <v>440</v>
      </c>
      <c r="P86" s="3" t="s">
        <v>25</v>
      </c>
      <c r="Q86" s="3" t="s">
        <v>4701</v>
      </c>
    </row>
    <row r="87" spans="1:17">
      <c r="A87" s="3">
        <v>427885</v>
      </c>
      <c r="B87" s="3" t="s">
        <v>441</v>
      </c>
      <c r="C87" s="3" t="str">
        <f>"9781119000884"</f>
        <v>9781119000884</v>
      </c>
      <c r="D87" s="3" t="str">
        <f>"9780470455319"</f>
        <v>9780470455319</v>
      </c>
      <c r="E87" s="3" t="s">
        <v>32</v>
      </c>
      <c r="F87" s="3" t="s">
        <v>32</v>
      </c>
      <c r="G87" s="4">
        <v>39902</v>
      </c>
      <c r="H87" s="3" t="s">
        <v>20</v>
      </c>
      <c r="I87" s="3">
        <v>3</v>
      </c>
      <c r="J87" s="3" t="s">
        <v>442</v>
      </c>
      <c r="K87" s="3" t="s">
        <v>443</v>
      </c>
      <c r="L87" s="3" t="s">
        <v>444</v>
      </c>
      <c r="M87" s="3" t="s">
        <v>445</v>
      </c>
      <c r="N87" s="3" t="s">
        <v>446</v>
      </c>
      <c r="O87" s="3" t="s">
        <v>447</v>
      </c>
      <c r="P87" s="3" t="s">
        <v>25</v>
      </c>
      <c r="Q87" s="3" t="s">
        <v>4702</v>
      </c>
    </row>
    <row r="88" spans="1:17">
      <c r="A88" s="3">
        <v>428019</v>
      </c>
      <c r="B88" s="3" t="s">
        <v>448</v>
      </c>
      <c r="C88" s="3" t="str">
        <f>"9780632049516"</f>
        <v>9780632049516</v>
      </c>
      <c r="D88" s="3" t="str">
        <f>"9781444311488"</f>
        <v>9781444311488</v>
      </c>
      <c r="E88" s="3" t="s">
        <v>32</v>
      </c>
      <c r="F88" s="3" t="s">
        <v>33</v>
      </c>
      <c r="G88" s="4">
        <v>36375</v>
      </c>
      <c r="H88" s="3" t="s">
        <v>20</v>
      </c>
      <c r="I88" s="3">
        <v>1</v>
      </c>
      <c r="J88" s="3"/>
      <c r="K88" s="3" t="s">
        <v>449</v>
      </c>
      <c r="L88" s="3" t="s">
        <v>450</v>
      </c>
      <c r="M88" s="3" t="s">
        <v>451</v>
      </c>
      <c r="N88" s="3" t="s">
        <v>452</v>
      </c>
      <c r="O88" s="3" t="s">
        <v>453</v>
      </c>
      <c r="P88" s="3" t="s">
        <v>25</v>
      </c>
      <c r="Q88" s="3" t="s">
        <v>4703</v>
      </c>
    </row>
    <row r="89" spans="1:17">
      <c r="A89" s="3">
        <v>428123</v>
      </c>
      <c r="B89" s="3" t="s">
        <v>454</v>
      </c>
      <c r="C89" s="3" t="str">
        <f>"9781118730003"</f>
        <v>9781118730003</v>
      </c>
      <c r="D89" s="3" t="str">
        <f>"9781444308426"</f>
        <v>9781444308426</v>
      </c>
      <c r="E89" s="3" t="s">
        <v>32</v>
      </c>
      <c r="F89" s="3" t="s">
        <v>33</v>
      </c>
      <c r="G89" s="4">
        <v>39909</v>
      </c>
      <c r="H89" s="3" t="s">
        <v>20</v>
      </c>
      <c r="I89" s="3">
        <v>1</v>
      </c>
      <c r="J89" s="3" t="s">
        <v>455</v>
      </c>
      <c r="K89" s="3" t="s">
        <v>456</v>
      </c>
      <c r="L89" s="3" t="s">
        <v>58</v>
      </c>
      <c r="M89" s="3" t="s">
        <v>457</v>
      </c>
      <c r="N89" s="3">
        <v>947</v>
      </c>
      <c r="O89" s="3" t="s">
        <v>458</v>
      </c>
      <c r="P89" s="3" t="s">
        <v>25</v>
      </c>
      <c r="Q89" s="3" t="s">
        <v>4704</v>
      </c>
    </row>
    <row r="90" spans="1:17">
      <c r="A90" s="3">
        <v>428164</v>
      </c>
      <c r="B90" s="3" t="s">
        <v>459</v>
      </c>
      <c r="C90" s="3" t="str">
        <f>"9781405152983"</f>
        <v>9781405152983</v>
      </c>
      <c r="D90" s="3" t="str">
        <f>"9781444308532"</f>
        <v>9781444308532</v>
      </c>
      <c r="E90" s="3" t="s">
        <v>32</v>
      </c>
      <c r="F90" s="3" t="s">
        <v>33</v>
      </c>
      <c r="G90" s="4">
        <v>39916</v>
      </c>
      <c r="H90" s="3" t="s">
        <v>20</v>
      </c>
      <c r="I90" s="3">
        <v>2</v>
      </c>
      <c r="J90" s="3" t="s">
        <v>186</v>
      </c>
      <c r="K90" s="3" t="s">
        <v>460</v>
      </c>
      <c r="L90" s="3" t="s">
        <v>182</v>
      </c>
      <c r="M90" s="3" t="s">
        <v>461</v>
      </c>
      <c r="N90" s="3">
        <v>110.3</v>
      </c>
      <c r="O90" s="3" t="s">
        <v>462</v>
      </c>
      <c r="P90" s="3" t="s">
        <v>25</v>
      </c>
      <c r="Q90" s="3" t="s">
        <v>4705</v>
      </c>
    </row>
    <row r="91" spans="1:17">
      <c r="A91" s="3">
        <v>432010</v>
      </c>
      <c r="B91" s="3" t="s">
        <v>463</v>
      </c>
      <c r="C91" s="3" t="str">
        <f>"9780521699754"</f>
        <v>9780521699754</v>
      </c>
      <c r="D91" s="3" t="str">
        <f>"9780511515286"</f>
        <v>9780511515286</v>
      </c>
      <c r="E91" s="3" t="s">
        <v>41</v>
      </c>
      <c r="F91" s="3" t="s">
        <v>41</v>
      </c>
      <c r="G91" s="4">
        <v>39874</v>
      </c>
      <c r="H91" s="3" t="s">
        <v>20</v>
      </c>
      <c r="I91" s="3"/>
      <c r="J91" s="3"/>
      <c r="K91" s="3" t="s">
        <v>464</v>
      </c>
      <c r="L91" s="3" t="s">
        <v>204</v>
      </c>
      <c r="M91" s="3" t="s">
        <v>465</v>
      </c>
      <c r="N91" s="3" t="s">
        <v>466</v>
      </c>
      <c r="O91" s="3" t="s">
        <v>467</v>
      </c>
      <c r="P91" s="3" t="s">
        <v>25</v>
      </c>
      <c r="Q91" s="3" t="s">
        <v>4706</v>
      </c>
    </row>
    <row r="92" spans="1:17">
      <c r="A92" s="3">
        <v>432031</v>
      </c>
      <c r="B92" s="3" t="s">
        <v>468</v>
      </c>
      <c r="C92" s="3" t="str">
        <f>"9780521867474"</f>
        <v>9780521867474</v>
      </c>
      <c r="D92" s="3" t="str">
        <f>"9780511515699"</f>
        <v>9780511515699</v>
      </c>
      <c r="E92" s="3" t="s">
        <v>41</v>
      </c>
      <c r="F92" s="3" t="s">
        <v>41</v>
      </c>
      <c r="G92" s="4">
        <v>39898</v>
      </c>
      <c r="H92" s="3" t="s">
        <v>20</v>
      </c>
      <c r="I92" s="3"/>
      <c r="J92" s="3" t="s">
        <v>134</v>
      </c>
      <c r="K92" s="3" t="s">
        <v>469</v>
      </c>
      <c r="L92" s="3" t="s">
        <v>22</v>
      </c>
      <c r="M92" s="3" t="s">
        <v>470</v>
      </c>
      <c r="N92" s="3" t="s">
        <v>471</v>
      </c>
      <c r="O92" s="3" t="s">
        <v>472</v>
      </c>
      <c r="P92" s="3" t="s">
        <v>25</v>
      </c>
      <c r="Q92" s="3" t="s">
        <v>4707</v>
      </c>
    </row>
    <row r="93" spans="1:17">
      <c r="A93" s="3">
        <v>432062</v>
      </c>
      <c r="B93" s="3" t="s">
        <v>473</v>
      </c>
      <c r="C93" s="3" t="str">
        <f>"9780521873666"</f>
        <v>9780521873666</v>
      </c>
      <c r="D93" s="3" t="str">
        <f>"9780511515712"</f>
        <v>9780511515712</v>
      </c>
      <c r="E93" s="3" t="s">
        <v>41</v>
      </c>
      <c r="F93" s="3" t="s">
        <v>41</v>
      </c>
      <c r="G93" s="4">
        <v>39905</v>
      </c>
      <c r="H93" s="3" t="s">
        <v>20</v>
      </c>
      <c r="I93" s="3"/>
      <c r="J93" s="3" t="s">
        <v>134</v>
      </c>
      <c r="K93" s="3" t="s">
        <v>474</v>
      </c>
      <c r="L93" s="3" t="s">
        <v>22</v>
      </c>
      <c r="M93" s="3" t="s">
        <v>475</v>
      </c>
      <c r="N93" s="3">
        <v>813.52</v>
      </c>
      <c r="O93" s="3" t="s">
        <v>476</v>
      </c>
      <c r="P93" s="3" t="s">
        <v>25</v>
      </c>
      <c r="Q93" s="3" t="s">
        <v>4708</v>
      </c>
    </row>
    <row r="94" spans="1:17">
      <c r="A94" s="3">
        <v>433023</v>
      </c>
      <c r="B94" s="3" t="s">
        <v>477</v>
      </c>
      <c r="C94" s="3" t="str">
        <f>"9780521682053"</f>
        <v>9780521682053</v>
      </c>
      <c r="D94" s="3" t="str">
        <f>"9780511532467"</f>
        <v>9780511532467</v>
      </c>
      <c r="E94" s="3" t="s">
        <v>41</v>
      </c>
      <c r="F94" s="3" t="s">
        <v>41</v>
      </c>
      <c r="G94" s="4">
        <v>39860</v>
      </c>
      <c r="H94" s="3" t="s">
        <v>20</v>
      </c>
      <c r="I94" s="3"/>
      <c r="J94" s="3" t="s">
        <v>478</v>
      </c>
      <c r="K94" s="3" t="s">
        <v>479</v>
      </c>
      <c r="L94" s="3" t="s">
        <v>204</v>
      </c>
      <c r="M94" s="3" t="s">
        <v>480</v>
      </c>
      <c r="N94" s="3" t="s">
        <v>481</v>
      </c>
      <c r="O94" s="3" t="s">
        <v>482</v>
      </c>
      <c r="P94" s="3" t="s">
        <v>25</v>
      </c>
      <c r="Q94" s="3" t="s">
        <v>4709</v>
      </c>
    </row>
    <row r="95" spans="1:17">
      <c r="A95" s="3">
        <v>433814</v>
      </c>
      <c r="B95" s="3" t="s">
        <v>483</v>
      </c>
      <c r="C95" s="3" t="str">
        <f>"9780470442562"</f>
        <v>9780470442562</v>
      </c>
      <c r="D95" s="3" t="str">
        <f>"9780470486221"</f>
        <v>9780470486221</v>
      </c>
      <c r="E95" s="3" t="s">
        <v>32</v>
      </c>
      <c r="F95" s="3" t="s">
        <v>32</v>
      </c>
      <c r="G95" s="4">
        <v>39937</v>
      </c>
      <c r="H95" s="3" t="s">
        <v>20</v>
      </c>
      <c r="I95" s="3">
        <v>1</v>
      </c>
      <c r="J95" s="3" t="s">
        <v>484</v>
      </c>
      <c r="K95" s="3" t="s">
        <v>485</v>
      </c>
      <c r="L95" s="3" t="s">
        <v>486</v>
      </c>
      <c r="M95" s="3" t="s">
        <v>487</v>
      </c>
      <c r="N95" s="3" t="s">
        <v>488</v>
      </c>
      <c r="O95" s="3" t="s">
        <v>489</v>
      </c>
      <c r="P95" s="3" t="s">
        <v>25</v>
      </c>
      <c r="Q95" s="3" t="s">
        <v>4710</v>
      </c>
    </row>
    <row r="96" spans="1:17">
      <c r="A96" s="3">
        <v>433825</v>
      </c>
      <c r="B96" s="3" t="s">
        <v>490</v>
      </c>
      <c r="C96" s="3" t="str">
        <f>"9780470432365"</f>
        <v>9780470432365</v>
      </c>
      <c r="D96" s="3" t="str">
        <f>"9780470523391"</f>
        <v>9780470523391</v>
      </c>
      <c r="E96" s="3" t="s">
        <v>32</v>
      </c>
      <c r="F96" s="3" t="s">
        <v>491</v>
      </c>
      <c r="G96" s="4">
        <v>39937</v>
      </c>
      <c r="H96" s="3" t="s">
        <v>20</v>
      </c>
      <c r="I96" s="3">
        <v>1</v>
      </c>
      <c r="J96" s="3" t="s">
        <v>491</v>
      </c>
      <c r="K96" s="3" t="s">
        <v>492</v>
      </c>
      <c r="L96" s="3" t="s">
        <v>36</v>
      </c>
      <c r="M96" s="3" t="s">
        <v>493</v>
      </c>
      <c r="N96" s="3">
        <v>657.98</v>
      </c>
      <c r="O96" s="3" t="s">
        <v>494</v>
      </c>
      <c r="P96" s="3" t="s">
        <v>25</v>
      </c>
      <c r="Q96" s="3" t="s">
        <v>4711</v>
      </c>
    </row>
    <row r="97" spans="1:17">
      <c r="A97" s="3">
        <v>435138</v>
      </c>
      <c r="B97" s="3" t="s">
        <v>495</v>
      </c>
      <c r="C97" s="3" t="str">
        <f>"9780826137937"</f>
        <v>9780826137937</v>
      </c>
      <c r="D97" s="3" t="str">
        <f>"9780826137944"</f>
        <v>9780826137944</v>
      </c>
      <c r="E97" s="3" t="s">
        <v>496</v>
      </c>
      <c r="F97" s="3" t="s">
        <v>496</v>
      </c>
      <c r="G97" s="4">
        <v>39904</v>
      </c>
      <c r="H97" s="3" t="s">
        <v>20</v>
      </c>
      <c r="I97" s="3">
        <v>1</v>
      </c>
      <c r="J97" s="3"/>
      <c r="K97" s="3" t="s">
        <v>497</v>
      </c>
      <c r="L97" s="3" t="s">
        <v>317</v>
      </c>
      <c r="M97" s="3" t="s">
        <v>498</v>
      </c>
      <c r="N97" s="3" t="s">
        <v>499</v>
      </c>
      <c r="O97" s="3" t="s">
        <v>500</v>
      </c>
      <c r="P97" s="3" t="s">
        <v>25</v>
      </c>
      <c r="Q97" s="3" t="s">
        <v>4712</v>
      </c>
    </row>
    <row r="98" spans="1:17">
      <c r="A98" s="3">
        <v>437482</v>
      </c>
      <c r="B98" s="3" t="s">
        <v>501</v>
      </c>
      <c r="C98" s="3" t="str">
        <f>"9780631229025"</f>
        <v>9780631229025</v>
      </c>
      <c r="D98" s="3" t="str">
        <f>"9781444305999"</f>
        <v>9781444305999</v>
      </c>
      <c r="E98" s="3" t="s">
        <v>32</v>
      </c>
      <c r="F98" s="3" t="s">
        <v>33</v>
      </c>
      <c r="G98" s="4">
        <v>39785</v>
      </c>
      <c r="H98" s="3" t="s">
        <v>20</v>
      </c>
      <c r="I98" s="3">
        <v>1</v>
      </c>
      <c r="J98" s="3" t="s">
        <v>502</v>
      </c>
      <c r="K98" s="3" t="s">
        <v>503</v>
      </c>
      <c r="L98" s="3" t="s">
        <v>504</v>
      </c>
      <c r="M98" s="3" t="s">
        <v>505</v>
      </c>
      <c r="N98" s="3">
        <v>417.22</v>
      </c>
      <c r="O98" s="3" t="s">
        <v>506</v>
      </c>
      <c r="P98" s="3" t="s">
        <v>25</v>
      </c>
      <c r="Q98" s="3" t="s">
        <v>4713</v>
      </c>
    </row>
    <row r="99" spans="1:17">
      <c r="A99" s="3">
        <v>437521</v>
      </c>
      <c r="B99" s="3" t="s">
        <v>507</v>
      </c>
      <c r="C99" s="3" t="str">
        <f>"9781405185103"</f>
        <v>9781405185103</v>
      </c>
      <c r="D99" s="3" t="str">
        <f>"9781444310610"</f>
        <v>9781444310610</v>
      </c>
      <c r="E99" s="3" t="s">
        <v>32</v>
      </c>
      <c r="F99" s="3" t="s">
        <v>33</v>
      </c>
      <c r="G99" s="4">
        <v>39505</v>
      </c>
      <c r="H99" s="3" t="s">
        <v>20</v>
      </c>
      <c r="I99" s="3">
        <v>1</v>
      </c>
      <c r="J99" s="3" t="s">
        <v>111</v>
      </c>
      <c r="K99" s="3" t="s">
        <v>508</v>
      </c>
      <c r="L99" s="3" t="s">
        <v>22</v>
      </c>
      <c r="M99" s="3" t="s">
        <v>509</v>
      </c>
      <c r="N99" s="3" t="s">
        <v>510</v>
      </c>
      <c r="O99" s="3" t="s">
        <v>511</v>
      </c>
      <c r="P99" s="3" t="s">
        <v>25</v>
      </c>
      <c r="Q99" s="3" t="s">
        <v>4714</v>
      </c>
    </row>
    <row r="100" spans="1:17">
      <c r="A100" s="3">
        <v>437527</v>
      </c>
      <c r="B100" s="3" t="s">
        <v>512</v>
      </c>
      <c r="C100" s="3" t="str">
        <f>"9781118344675"</f>
        <v>9781118344675</v>
      </c>
      <c r="D100" s="3" t="str">
        <f>"9781444306019"</f>
        <v>9781444306019</v>
      </c>
      <c r="E100" s="3" t="s">
        <v>32</v>
      </c>
      <c r="F100" s="3" t="s">
        <v>33</v>
      </c>
      <c r="G100" s="4">
        <v>39846</v>
      </c>
      <c r="H100" s="3" t="s">
        <v>20</v>
      </c>
      <c r="I100" s="3">
        <v>1</v>
      </c>
      <c r="J100" s="3"/>
      <c r="K100" s="3" t="s">
        <v>513</v>
      </c>
      <c r="L100" s="3" t="s">
        <v>514</v>
      </c>
      <c r="M100" s="3" t="s">
        <v>515</v>
      </c>
      <c r="N100" s="3" t="s">
        <v>516</v>
      </c>
      <c r="O100" s="3" t="s">
        <v>517</v>
      </c>
      <c r="P100" s="3" t="s">
        <v>25</v>
      </c>
      <c r="Q100" s="3" t="s">
        <v>4715</v>
      </c>
    </row>
    <row r="101" spans="1:17">
      <c r="A101" s="3">
        <v>442890</v>
      </c>
      <c r="B101" s="3" t="s">
        <v>518</v>
      </c>
      <c r="C101" s="3" t="str">
        <f>"9780521746588"</f>
        <v>9780521746588</v>
      </c>
      <c r="D101" s="3" t="str">
        <f>"9780511539480"</f>
        <v>9780511539480</v>
      </c>
      <c r="E101" s="3" t="s">
        <v>41</v>
      </c>
      <c r="F101" s="3" t="s">
        <v>41</v>
      </c>
      <c r="G101" s="4">
        <v>39961</v>
      </c>
      <c r="H101" s="3" t="s">
        <v>20</v>
      </c>
      <c r="I101" s="3"/>
      <c r="J101" s="3" t="s">
        <v>519</v>
      </c>
      <c r="K101" s="3" t="s">
        <v>520</v>
      </c>
      <c r="L101" s="3" t="s">
        <v>521</v>
      </c>
      <c r="M101" s="3" t="s">
        <v>522</v>
      </c>
      <c r="N101" s="3">
        <v>616.89</v>
      </c>
      <c r="O101" s="3" t="s">
        <v>523</v>
      </c>
      <c r="P101" s="3" t="s">
        <v>25</v>
      </c>
      <c r="Q101" s="3" t="s">
        <v>4716</v>
      </c>
    </row>
    <row r="102" spans="1:17">
      <c r="A102" s="3">
        <v>448457</v>
      </c>
      <c r="B102" s="3" t="s">
        <v>524</v>
      </c>
      <c r="C102" s="3" t="str">
        <f>"9781412907354"</f>
        <v>9781412907354</v>
      </c>
      <c r="D102" s="3" t="str">
        <f>"9781849205405"</f>
        <v>9781849205405</v>
      </c>
      <c r="E102" s="3" t="s">
        <v>253</v>
      </c>
      <c r="F102" s="3" t="s">
        <v>253</v>
      </c>
      <c r="G102" s="4">
        <v>39552</v>
      </c>
      <c r="H102" s="3" t="s">
        <v>20</v>
      </c>
      <c r="I102" s="3">
        <v>1</v>
      </c>
      <c r="J102" s="3"/>
      <c r="K102" s="3" t="s">
        <v>525</v>
      </c>
      <c r="L102" s="3" t="s">
        <v>526</v>
      </c>
      <c r="M102" s="3" t="s">
        <v>527</v>
      </c>
      <c r="N102" s="3">
        <v>306.48302999999999</v>
      </c>
      <c r="O102" s="3" t="s">
        <v>528</v>
      </c>
      <c r="P102" s="3" t="s">
        <v>25</v>
      </c>
      <c r="Q102" s="3" t="s">
        <v>4717</v>
      </c>
    </row>
    <row r="103" spans="1:17">
      <c r="A103" s="3">
        <v>448877</v>
      </c>
      <c r="B103" s="3" t="s">
        <v>529</v>
      </c>
      <c r="C103" s="3" t="str">
        <f>"9780787965679"</f>
        <v>9780787965679</v>
      </c>
      <c r="D103" s="3" t="str">
        <f>"9780470563564"</f>
        <v>9780470563564</v>
      </c>
      <c r="E103" s="3" t="s">
        <v>32</v>
      </c>
      <c r="F103" s="3" t="s">
        <v>530</v>
      </c>
      <c r="G103" s="4">
        <v>39847</v>
      </c>
      <c r="H103" s="3" t="s">
        <v>20</v>
      </c>
      <c r="I103" s="3">
        <v>2</v>
      </c>
      <c r="J103" s="3"/>
      <c r="K103" s="3" t="s">
        <v>531</v>
      </c>
      <c r="L103" s="3" t="s">
        <v>532</v>
      </c>
      <c r="M103" s="3" t="s">
        <v>533</v>
      </c>
      <c r="N103" s="3">
        <v>378.12509729999999</v>
      </c>
      <c r="O103" s="3" t="s">
        <v>534</v>
      </c>
      <c r="P103" s="3" t="s">
        <v>25</v>
      </c>
      <c r="Q103" s="3" t="s">
        <v>4718</v>
      </c>
    </row>
    <row r="104" spans="1:17">
      <c r="A104" s="3">
        <v>448906</v>
      </c>
      <c r="B104" s="3" t="s">
        <v>535</v>
      </c>
      <c r="C104" s="3" t="str">
        <f>"9780470471951"</f>
        <v>9780470471951</v>
      </c>
      <c r="D104" s="3" t="str">
        <f>"9780470486962"</f>
        <v>9780470486962</v>
      </c>
      <c r="E104" s="3" t="s">
        <v>32</v>
      </c>
      <c r="F104" s="3" t="s">
        <v>32</v>
      </c>
      <c r="G104" s="4">
        <v>39973</v>
      </c>
      <c r="H104" s="3" t="s">
        <v>20</v>
      </c>
      <c r="I104" s="3">
        <v>1</v>
      </c>
      <c r="J104" s="3"/>
      <c r="K104" s="3" t="s">
        <v>536</v>
      </c>
      <c r="L104" s="3" t="s">
        <v>97</v>
      </c>
      <c r="M104" s="3" t="s">
        <v>537</v>
      </c>
      <c r="N104" s="3">
        <v>519.20000000000005</v>
      </c>
      <c r="O104" s="3" t="s">
        <v>538</v>
      </c>
      <c r="P104" s="3" t="s">
        <v>25</v>
      </c>
      <c r="Q104" s="3" t="s">
        <v>4719</v>
      </c>
    </row>
    <row r="105" spans="1:17">
      <c r="A105" s="3">
        <v>448938</v>
      </c>
      <c r="B105" s="3" t="s">
        <v>539</v>
      </c>
      <c r="C105" s="3" t="str">
        <f>"9780470293713"</f>
        <v>9780470293713</v>
      </c>
      <c r="D105" s="3" t="str">
        <f>"9780470494813"</f>
        <v>9780470494813</v>
      </c>
      <c r="E105" s="3" t="s">
        <v>32</v>
      </c>
      <c r="F105" s="3" t="s">
        <v>530</v>
      </c>
      <c r="G105" s="4">
        <v>40042</v>
      </c>
      <c r="H105" s="3" t="s">
        <v>20</v>
      </c>
      <c r="I105" s="3">
        <v>2</v>
      </c>
      <c r="J105" s="3" t="s">
        <v>540</v>
      </c>
      <c r="K105" s="3" t="s">
        <v>541</v>
      </c>
      <c r="L105" s="3" t="s">
        <v>36</v>
      </c>
      <c r="M105" s="3" t="s">
        <v>542</v>
      </c>
      <c r="N105" s="3" t="s">
        <v>543</v>
      </c>
      <c r="O105" s="3" t="s">
        <v>544</v>
      </c>
      <c r="P105" s="3" t="s">
        <v>25</v>
      </c>
      <c r="Q105" s="3" t="s">
        <v>4720</v>
      </c>
    </row>
    <row r="106" spans="1:17">
      <c r="A106" s="3">
        <v>451903</v>
      </c>
      <c r="B106" s="3" t="s">
        <v>545</v>
      </c>
      <c r="C106" s="3" t="str">
        <f>"9780521833356"</f>
        <v>9780521833356</v>
      </c>
      <c r="D106" s="3" t="str">
        <f>"9780511593697"</f>
        <v>9780511593697</v>
      </c>
      <c r="E106" s="3" t="s">
        <v>41</v>
      </c>
      <c r="F106" s="3" t="s">
        <v>41</v>
      </c>
      <c r="G106" s="4">
        <v>40038</v>
      </c>
      <c r="H106" s="3" t="s">
        <v>20</v>
      </c>
      <c r="I106" s="3"/>
      <c r="J106" s="3"/>
      <c r="K106" s="3" t="s">
        <v>546</v>
      </c>
      <c r="L106" s="3" t="s">
        <v>504</v>
      </c>
      <c r="M106" s="3" t="s">
        <v>547</v>
      </c>
      <c r="N106" s="3">
        <v>401.90949999999998</v>
      </c>
      <c r="O106" s="3" t="s">
        <v>548</v>
      </c>
      <c r="P106" s="3" t="s">
        <v>25</v>
      </c>
      <c r="Q106" s="3" t="s">
        <v>4721</v>
      </c>
    </row>
    <row r="107" spans="1:17">
      <c r="A107" s="3">
        <v>451924</v>
      </c>
      <c r="B107" s="3" t="s">
        <v>549</v>
      </c>
      <c r="C107" s="3" t="str">
        <f>"9780521854030"</f>
        <v>9780521854030</v>
      </c>
      <c r="D107" s="3" t="str">
        <f>"9780511593239"</f>
        <v>9780511593239</v>
      </c>
      <c r="E107" s="3" t="s">
        <v>41</v>
      </c>
      <c r="F107" s="3" t="s">
        <v>41</v>
      </c>
      <c r="G107" s="4">
        <v>40003</v>
      </c>
      <c r="H107" s="3" t="s">
        <v>20</v>
      </c>
      <c r="I107" s="3"/>
      <c r="J107" s="3"/>
      <c r="K107" s="3" t="s">
        <v>550</v>
      </c>
      <c r="L107" s="3" t="s">
        <v>551</v>
      </c>
      <c r="M107" s="3" t="s">
        <v>552</v>
      </c>
      <c r="N107" s="3">
        <v>530.15</v>
      </c>
      <c r="O107" s="3" t="s">
        <v>553</v>
      </c>
      <c r="P107" s="3" t="s">
        <v>25</v>
      </c>
      <c r="Q107" s="3" t="s">
        <v>4722</v>
      </c>
    </row>
    <row r="108" spans="1:17">
      <c r="A108" s="3">
        <v>451939</v>
      </c>
      <c r="B108" s="3" t="s">
        <v>554</v>
      </c>
      <c r="C108" s="3" t="str">
        <f>"9780521862189"</f>
        <v>9780521862189</v>
      </c>
      <c r="D108" s="3" t="str">
        <f>"9780511592942"</f>
        <v>9780511592942</v>
      </c>
      <c r="E108" s="3" t="s">
        <v>41</v>
      </c>
      <c r="F108" s="3" t="s">
        <v>41</v>
      </c>
      <c r="G108" s="4">
        <v>40010</v>
      </c>
      <c r="H108" s="3" t="s">
        <v>20</v>
      </c>
      <c r="I108" s="3"/>
      <c r="J108" s="3" t="s">
        <v>62</v>
      </c>
      <c r="K108" s="3" t="s">
        <v>555</v>
      </c>
      <c r="L108" s="3" t="s">
        <v>514</v>
      </c>
      <c r="M108" s="3" t="s">
        <v>556</v>
      </c>
      <c r="N108" s="3">
        <v>155.19999999999999</v>
      </c>
      <c r="O108" s="3" t="s">
        <v>557</v>
      </c>
      <c r="P108" s="3" t="s">
        <v>25</v>
      </c>
      <c r="Q108" s="3" t="s">
        <v>4723</v>
      </c>
    </row>
    <row r="109" spans="1:17">
      <c r="A109" s="3">
        <v>454326</v>
      </c>
      <c r="B109" s="3" t="s">
        <v>558</v>
      </c>
      <c r="C109" s="3" t="str">
        <f>"9781119972419"</f>
        <v>9781119972419</v>
      </c>
      <c r="D109" s="3" t="str">
        <f>"9780470747605"</f>
        <v>9780470747605</v>
      </c>
      <c r="E109" s="3" t="s">
        <v>32</v>
      </c>
      <c r="F109" s="3" t="s">
        <v>33</v>
      </c>
      <c r="G109" s="4">
        <v>40084</v>
      </c>
      <c r="H109" s="3" t="s">
        <v>20</v>
      </c>
      <c r="I109" s="3">
        <v>1</v>
      </c>
      <c r="J109" s="3"/>
      <c r="K109" s="3" t="s">
        <v>559</v>
      </c>
      <c r="L109" s="3" t="s">
        <v>64</v>
      </c>
      <c r="M109" s="3" t="s">
        <v>560</v>
      </c>
      <c r="N109" s="3" t="s">
        <v>561</v>
      </c>
      <c r="O109" s="3" t="s">
        <v>562</v>
      </c>
      <c r="P109" s="3" t="s">
        <v>25</v>
      </c>
      <c r="Q109" s="3" t="s">
        <v>4724</v>
      </c>
    </row>
    <row r="110" spans="1:17">
      <c r="A110" s="3">
        <v>454334</v>
      </c>
      <c r="B110" s="3" t="s">
        <v>563</v>
      </c>
      <c r="C110" s="3" t="str">
        <f>"9781405154895"</f>
        <v>9781405154895</v>
      </c>
      <c r="D110" s="3" t="str">
        <f>"9781444315790"</f>
        <v>9781444315790</v>
      </c>
      <c r="E110" s="3" t="s">
        <v>32</v>
      </c>
      <c r="F110" s="3" t="s">
        <v>33</v>
      </c>
      <c r="G110" s="4">
        <v>40021</v>
      </c>
      <c r="H110" s="3" t="s">
        <v>20</v>
      </c>
      <c r="I110" s="3">
        <v>1</v>
      </c>
      <c r="J110" s="3" t="s">
        <v>502</v>
      </c>
      <c r="K110" s="3" t="s">
        <v>564</v>
      </c>
      <c r="L110" s="3" t="s">
        <v>504</v>
      </c>
      <c r="M110" s="3" t="s">
        <v>565</v>
      </c>
      <c r="N110" s="3">
        <v>418.00709999999998</v>
      </c>
      <c r="O110" s="3" t="s">
        <v>566</v>
      </c>
      <c r="P110" s="3" t="s">
        <v>25</v>
      </c>
      <c r="Q110" s="3" t="s">
        <v>4725</v>
      </c>
    </row>
    <row r="111" spans="1:17">
      <c r="A111" s="3">
        <v>454389</v>
      </c>
      <c r="B111" s="3" t="s">
        <v>567</v>
      </c>
      <c r="C111" s="3" t="str">
        <f>"9780865428386"</f>
        <v>9780865428386</v>
      </c>
      <c r="D111" s="3" t="str">
        <f>"9781444313246"</f>
        <v>9781444313246</v>
      </c>
      <c r="E111" s="3" t="s">
        <v>32</v>
      </c>
      <c r="F111" s="3" t="s">
        <v>33</v>
      </c>
      <c r="G111" s="4">
        <v>36041</v>
      </c>
      <c r="H111" s="3" t="s">
        <v>20</v>
      </c>
      <c r="I111" s="3">
        <v>1</v>
      </c>
      <c r="J111" s="3"/>
      <c r="K111" s="3" t="s">
        <v>449</v>
      </c>
      <c r="L111" s="3" t="s">
        <v>568</v>
      </c>
      <c r="M111" s="3" t="s">
        <v>569</v>
      </c>
      <c r="N111" s="3">
        <v>363.70030000000003</v>
      </c>
      <c r="O111" s="3" t="s">
        <v>570</v>
      </c>
      <c r="P111" s="3" t="s">
        <v>25</v>
      </c>
      <c r="Q111" s="3" t="s">
        <v>4726</v>
      </c>
    </row>
    <row r="112" spans="1:17">
      <c r="A112" s="3">
        <v>455881</v>
      </c>
      <c r="B112" s="3" t="s">
        <v>571</v>
      </c>
      <c r="C112" s="3" t="str">
        <f>"9780470387634"</f>
        <v>9780470387634</v>
      </c>
      <c r="D112" s="3" t="str">
        <f>"9780470523308"</f>
        <v>9780470523308</v>
      </c>
      <c r="E112" s="3" t="s">
        <v>32</v>
      </c>
      <c r="F112" s="3" t="s">
        <v>32</v>
      </c>
      <c r="G112" s="4">
        <v>40042</v>
      </c>
      <c r="H112" s="3" t="s">
        <v>20</v>
      </c>
      <c r="I112" s="3">
        <v>3</v>
      </c>
      <c r="J112" s="3"/>
      <c r="K112" s="3" t="s">
        <v>572</v>
      </c>
      <c r="L112" s="3" t="s">
        <v>573</v>
      </c>
      <c r="M112" s="3" t="s">
        <v>574</v>
      </c>
      <c r="N112" s="3" t="s">
        <v>575</v>
      </c>
      <c r="O112" s="3" t="s">
        <v>576</v>
      </c>
      <c r="P112" s="3" t="s">
        <v>25</v>
      </c>
      <c r="Q112" s="3" t="s">
        <v>4727</v>
      </c>
    </row>
    <row r="113" spans="1:17">
      <c r="A113" s="3">
        <v>456050</v>
      </c>
      <c r="B113" s="3" t="s">
        <v>577</v>
      </c>
      <c r="C113" s="3" t="str">
        <f>"9781405197205"</f>
        <v>9781405197205</v>
      </c>
      <c r="D113" s="3" t="str">
        <f>"9781444315110"</f>
        <v>9781444315110</v>
      </c>
      <c r="E113" s="3" t="s">
        <v>32</v>
      </c>
      <c r="F113" s="3" t="s">
        <v>33</v>
      </c>
      <c r="G113" s="4">
        <v>40161</v>
      </c>
      <c r="H113" s="3" t="s">
        <v>20</v>
      </c>
      <c r="I113" s="3">
        <v>1</v>
      </c>
      <c r="J113" s="3" t="s">
        <v>301</v>
      </c>
      <c r="K113" s="3" t="s">
        <v>578</v>
      </c>
      <c r="L113" s="3" t="s">
        <v>579</v>
      </c>
      <c r="M113" s="3" t="s">
        <v>580</v>
      </c>
      <c r="N113" s="3">
        <v>355.00972999999999</v>
      </c>
      <c r="O113" s="3" t="s">
        <v>581</v>
      </c>
      <c r="P113" s="3" t="s">
        <v>25</v>
      </c>
      <c r="Q113" s="3" t="s">
        <v>4728</v>
      </c>
    </row>
    <row r="114" spans="1:17">
      <c r="A114" s="3">
        <v>461152</v>
      </c>
      <c r="B114" s="3" t="s">
        <v>582</v>
      </c>
      <c r="C114" s="3" t="str">
        <f>"9780521854702"</f>
        <v>9780521854702</v>
      </c>
      <c r="D114" s="3" t="str">
        <f>"9780511632785"</f>
        <v>9780511632785</v>
      </c>
      <c r="E114" s="3" t="s">
        <v>41</v>
      </c>
      <c r="F114" s="3" t="s">
        <v>41</v>
      </c>
      <c r="G114" s="4">
        <v>40063</v>
      </c>
      <c r="H114" s="3" t="s">
        <v>20</v>
      </c>
      <c r="I114" s="3"/>
      <c r="J114" s="3"/>
      <c r="K114" s="3" t="s">
        <v>583</v>
      </c>
      <c r="L114" s="3" t="s">
        <v>514</v>
      </c>
      <c r="M114" s="3" t="s">
        <v>584</v>
      </c>
      <c r="N114" s="3">
        <v>150.30000000000001</v>
      </c>
      <c r="O114" s="3" t="s">
        <v>514</v>
      </c>
      <c r="P114" s="3" t="s">
        <v>25</v>
      </c>
      <c r="Q114" s="3" t="s">
        <v>4729</v>
      </c>
    </row>
    <row r="115" spans="1:17">
      <c r="A115" s="3">
        <v>464854</v>
      </c>
      <c r="B115" s="3" t="s">
        <v>585</v>
      </c>
      <c r="C115" s="3" t="str">
        <f>"9780521735629"</f>
        <v>9780521735629</v>
      </c>
      <c r="D115" s="3" t="str">
        <f>"9780511639111"</f>
        <v>9780511639111</v>
      </c>
      <c r="E115" s="3" t="s">
        <v>41</v>
      </c>
      <c r="F115" s="3" t="s">
        <v>41</v>
      </c>
      <c r="G115" s="4">
        <v>40094</v>
      </c>
      <c r="H115" s="3" t="s">
        <v>20</v>
      </c>
      <c r="I115" s="3"/>
      <c r="J115" s="3"/>
      <c r="K115" s="3" t="s">
        <v>586</v>
      </c>
      <c r="L115" s="3" t="s">
        <v>204</v>
      </c>
      <c r="M115" s="3" t="s">
        <v>587</v>
      </c>
      <c r="N115" s="3" t="s">
        <v>588</v>
      </c>
      <c r="O115" s="3" t="s">
        <v>589</v>
      </c>
      <c r="P115" s="3" t="s">
        <v>25</v>
      </c>
      <c r="Q115" s="3" t="s">
        <v>4730</v>
      </c>
    </row>
    <row r="116" spans="1:17">
      <c r="A116" s="3">
        <v>464857</v>
      </c>
      <c r="B116" s="3" t="s">
        <v>590</v>
      </c>
      <c r="C116" s="3" t="str">
        <f>"9780521721639"</f>
        <v>9780521721639</v>
      </c>
      <c r="D116" s="3" t="str">
        <f>"9780511639296"</f>
        <v>9780511639296</v>
      </c>
      <c r="E116" s="3" t="s">
        <v>41</v>
      </c>
      <c r="F116" s="3" t="s">
        <v>41</v>
      </c>
      <c r="G116" s="4">
        <v>40087</v>
      </c>
      <c r="H116" s="3" t="s">
        <v>20</v>
      </c>
      <c r="I116" s="3"/>
      <c r="J116" s="3"/>
      <c r="K116" s="3" t="s">
        <v>591</v>
      </c>
      <c r="L116" s="3" t="s">
        <v>592</v>
      </c>
      <c r="M116" s="3" t="s">
        <v>593</v>
      </c>
      <c r="N116" s="3">
        <v>615.1</v>
      </c>
      <c r="O116" s="3" t="s">
        <v>594</v>
      </c>
      <c r="P116" s="3" t="s">
        <v>25</v>
      </c>
      <c r="Q116" s="3" t="s">
        <v>4731</v>
      </c>
    </row>
    <row r="117" spans="1:17">
      <c r="A117" s="3">
        <v>464894</v>
      </c>
      <c r="B117" s="3" t="s">
        <v>595</v>
      </c>
      <c r="C117" s="3" t="str">
        <f>"9780521861571"</f>
        <v>9780521861571</v>
      </c>
      <c r="D117" s="3" t="str">
        <f>"9780511639173"</f>
        <v>9780511639173</v>
      </c>
      <c r="E117" s="3" t="s">
        <v>41</v>
      </c>
      <c r="F117" s="3" t="s">
        <v>41</v>
      </c>
      <c r="G117" s="4">
        <v>40094</v>
      </c>
      <c r="H117" s="3" t="s">
        <v>20</v>
      </c>
      <c r="I117" s="3"/>
      <c r="J117" s="3" t="s">
        <v>134</v>
      </c>
      <c r="K117" s="3" t="s">
        <v>596</v>
      </c>
      <c r="L117" s="3" t="s">
        <v>22</v>
      </c>
      <c r="M117" s="3" t="s">
        <v>597</v>
      </c>
      <c r="N117" s="3" t="s">
        <v>598</v>
      </c>
      <c r="O117" s="3" t="s">
        <v>599</v>
      </c>
      <c r="P117" s="3" t="s">
        <v>25</v>
      </c>
      <c r="Q117" s="3" t="s">
        <v>4732</v>
      </c>
    </row>
    <row r="118" spans="1:17">
      <c r="A118" s="3">
        <v>464897</v>
      </c>
      <c r="B118" s="3" t="s">
        <v>600</v>
      </c>
      <c r="C118" s="3" t="str">
        <f>"9780521695251"</f>
        <v>9780521695251</v>
      </c>
      <c r="D118" s="3" t="str">
        <f>"9780511639074"</f>
        <v>9780511639074</v>
      </c>
      <c r="E118" s="3" t="s">
        <v>41</v>
      </c>
      <c r="F118" s="3" t="s">
        <v>41</v>
      </c>
      <c r="G118" s="4">
        <v>40108</v>
      </c>
      <c r="H118" s="3" t="s">
        <v>20</v>
      </c>
      <c r="I118" s="3">
        <v>2</v>
      </c>
      <c r="J118" s="3"/>
      <c r="K118" s="3" t="s">
        <v>601</v>
      </c>
      <c r="L118" s="3" t="s">
        <v>602</v>
      </c>
      <c r="M118" s="3" t="s">
        <v>603</v>
      </c>
      <c r="N118" s="3" t="s">
        <v>604</v>
      </c>
      <c r="O118" s="3" t="s">
        <v>605</v>
      </c>
      <c r="P118" s="3" t="s">
        <v>25</v>
      </c>
      <c r="Q118" s="3" t="s">
        <v>4733</v>
      </c>
    </row>
    <row r="119" spans="1:17">
      <c r="A119" s="3">
        <v>465086</v>
      </c>
      <c r="B119" s="3" t="s">
        <v>606</v>
      </c>
      <c r="C119" s="3" t="str">
        <f>"9781412902076"</f>
        <v>9781412902076</v>
      </c>
      <c r="D119" s="3" t="str">
        <f>"9781849208291"</f>
        <v>9781849208291</v>
      </c>
      <c r="E119" s="3" t="s">
        <v>253</v>
      </c>
      <c r="F119" s="3" t="s">
        <v>253</v>
      </c>
      <c r="G119" s="4">
        <v>39604</v>
      </c>
      <c r="H119" s="3" t="s">
        <v>20</v>
      </c>
      <c r="I119" s="3">
        <v>1</v>
      </c>
      <c r="J119" s="3"/>
      <c r="K119" s="3" t="s">
        <v>607</v>
      </c>
      <c r="L119" s="3" t="s">
        <v>64</v>
      </c>
      <c r="M119" s="3" t="s">
        <v>608</v>
      </c>
      <c r="N119" s="3">
        <v>307.76</v>
      </c>
      <c r="O119" s="3" t="s">
        <v>609</v>
      </c>
      <c r="P119" s="3" t="s">
        <v>25</v>
      </c>
      <c r="Q119" s="3" t="s">
        <v>4734</v>
      </c>
    </row>
    <row r="120" spans="1:17">
      <c r="A120" s="3">
        <v>467559</v>
      </c>
      <c r="B120" s="3" t="s">
        <v>610</v>
      </c>
      <c r="C120" s="3" t="str">
        <f>"9789004149489"</f>
        <v>9789004149489</v>
      </c>
      <c r="D120" s="3" t="str">
        <f>"9789047423775"</f>
        <v>9789047423775</v>
      </c>
      <c r="E120" s="3" t="s">
        <v>611</v>
      </c>
      <c r="F120" s="3" t="s">
        <v>611</v>
      </c>
      <c r="G120" s="4">
        <v>40501</v>
      </c>
      <c r="H120" s="3" t="s">
        <v>20</v>
      </c>
      <c r="I120" s="3">
        <v>1</v>
      </c>
      <c r="J120" s="3" t="s">
        <v>612</v>
      </c>
      <c r="K120" s="3" t="s">
        <v>613</v>
      </c>
      <c r="L120" s="3" t="s">
        <v>118</v>
      </c>
      <c r="M120" s="3"/>
      <c r="N120" s="3">
        <v>297.12252100000001</v>
      </c>
      <c r="O120" s="3"/>
      <c r="P120" s="3" t="s">
        <v>25</v>
      </c>
      <c r="Q120" s="3" t="s">
        <v>4735</v>
      </c>
    </row>
    <row r="121" spans="1:17">
      <c r="A121" s="3">
        <v>467612</v>
      </c>
      <c r="B121" s="3" t="s">
        <v>614</v>
      </c>
      <c r="C121" s="3" t="str">
        <f>"9789004148239"</f>
        <v>9789004148239</v>
      </c>
      <c r="D121" s="3" t="str">
        <f>"9789047420811"</f>
        <v>9789047420811</v>
      </c>
      <c r="E121" s="3" t="s">
        <v>611</v>
      </c>
      <c r="F121" s="3" t="s">
        <v>611</v>
      </c>
      <c r="G121" s="4">
        <v>39255</v>
      </c>
      <c r="H121" s="3" t="s">
        <v>20</v>
      </c>
      <c r="I121" s="3">
        <v>1</v>
      </c>
      <c r="J121" s="3"/>
      <c r="K121" s="3" t="s">
        <v>615</v>
      </c>
      <c r="L121" s="3" t="s">
        <v>616</v>
      </c>
      <c r="M121" s="3" t="s">
        <v>617</v>
      </c>
      <c r="N121" s="3">
        <v>16.21</v>
      </c>
      <c r="O121" s="3" t="s">
        <v>618</v>
      </c>
      <c r="P121" s="3" t="s">
        <v>25</v>
      </c>
      <c r="Q121" s="3" t="s">
        <v>4736</v>
      </c>
    </row>
    <row r="122" spans="1:17">
      <c r="A122" s="3">
        <v>467675</v>
      </c>
      <c r="B122" s="3" t="s">
        <v>619</v>
      </c>
      <c r="C122" s="3" t="str">
        <f>"9789004145986"</f>
        <v>9789004145986</v>
      </c>
      <c r="D122" s="3" t="str">
        <f>"9789047423607"</f>
        <v>9789047423607</v>
      </c>
      <c r="E122" s="3" t="s">
        <v>611</v>
      </c>
      <c r="F122" s="3" t="s">
        <v>611</v>
      </c>
      <c r="G122" s="4">
        <v>39433</v>
      </c>
      <c r="H122" s="3" t="s">
        <v>20</v>
      </c>
      <c r="I122" s="3">
        <v>1</v>
      </c>
      <c r="J122" s="3" t="s">
        <v>620</v>
      </c>
      <c r="K122" s="3" t="s">
        <v>621</v>
      </c>
      <c r="L122" s="3" t="s">
        <v>622</v>
      </c>
      <c r="M122" s="3" t="s">
        <v>623</v>
      </c>
      <c r="N122" s="3">
        <v>335.4</v>
      </c>
      <c r="O122" s="3" t="s">
        <v>624</v>
      </c>
      <c r="P122" s="3" t="s">
        <v>25</v>
      </c>
      <c r="Q122" s="3" t="s">
        <v>4737</v>
      </c>
    </row>
    <row r="123" spans="1:17">
      <c r="A123" s="3">
        <v>467882</v>
      </c>
      <c r="B123" s="3" t="s">
        <v>625</v>
      </c>
      <c r="C123" s="3" t="str">
        <f>"9789004152816"</f>
        <v>9789004152816</v>
      </c>
      <c r="D123" s="3" t="str">
        <f>"9789047410492"</f>
        <v>9789047410492</v>
      </c>
      <c r="E123" s="3" t="s">
        <v>611</v>
      </c>
      <c r="F123" s="3" t="s">
        <v>611</v>
      </c>
      <c r="G123" s="4">
        <v>39079</v>
      </c>
      <c r="H123" s="3" t="s">
        <v>20</v>
      </c>
      <c r="I123" s="3">
        <v>1</v>
      </c>
      <c r="J123" s="3" t="s">
        <v>612</v>
      </c>
      <c r="K123" s="3" t="s">
        <v>626</v>
      </c>
      <c r="L123" s="3" t="s">
        <v>504</v>
      </c>
      <c r="M123" s="3" t="s">
        <v>627</v>
      </c>
      <c r="N123" s="3">
        <v>491.99799999999999</v>
      </c>
      <c r="O123" s="3"/>
      <c r="P123" s="3" t="s">
        <v>25</v>
      </c>
      <c r="Q123" s="3" t="s">
        <v>4738</v>
      </c>
    </row>
    <row r="124" spans="1:17">
      <c r="A124" s="3">
        <v>468490</v>
      </c>
      <c r="B124" s="3" t="s">
        <v>628</v>
      </c>
      <c r="C124" s="3" t="str">
        <f>"9789004165847"</f>
        <v>9789004165847</v>
      </c>
      <c r="D124" s="3" t="str">
        <f>"9789047431756"</f>
        <v>9789047431756</v>
      </c>
      <c r="E124" s="3" t="s">
        <v>611</v>
      </c>
      <c r="F124" s="3" t="s">
        <v>611</v>
      </c>
      <c r="G124" s="4">
        <v>39689</v>
      </c>
      <c r="H124" s="3" t="s">
        <v>20</v>
      </c>
      <c r="I124" s="3">
        <v>1</v>
      </c>
      <c r="J124" s="3"/>
      <c r="K124" s="3" t="s">
        <v>629</v>
      </c>
      <c r="L124" s="3" t="s">
        <v>354</v>
      </c>
      <c r="M124" s="3" t="s">
        <v>630</v>
      </c>
      <c r="N124" s="3"/>
      <c r="O124" s="3"/>
      <c r="P124" s="3" t="s">
        <v>25</v>
      </c>
      <c r="Q124" s="3" t="s">
        <v>4739</v>
      </c>
    </row>
    <row r="125" spans="1:17">
      <c r="A125" s="3">
        <v>468608</v>
      </c>
      <c r="B125" s="3" t="s">
        <v>631</v>
      </c>
      <c r="C125" s="3" t="str">
        <f>"9780470373682"</f>
        <v>9780470373682</v>
      </c>
      <c r="D125" s="3" t="str">
        <f>"9780470605424"</f>
        <v>9780470605424</v>
      </c>
      <c r="E125" s="3" t="s">
        <v>32</v>
      </c>
      <c r="F125" s="3" t="s">
        <v>530</v>
      </c>
      <c r="G125" s="4">
        <v>40078</v>
      </c>
      <c r="H125" s="3" t="s">
        <v>20</v>
      </c>
      <c r="I125" s="3">
        <v>1</v>
      </c>
      <c r="J125" s="3"/>
      <c r="K125" s="3" t="s">
        <v>632</v>
      </c>
      <c r="L125" s="3" t="s">
        <v>532</v>
      </c>
      <c r="M125" s="3" t="s">
        <v>633</v>
      </c>
      <c r="N125" s="3" t="s">
        <v>634</v>
      </c>
      <c r="O125" s="3" t="s">
        <v>635</v>
      </c>
      <c r="P125" s="3" t="s">
        <v>25</v>
      </c>
      <c r="Q125" s="3" t="s">
        <v>4740</v>
      </c>
    </row>
    <row r="126" spans="1:17">
      <c r="A126" s="3">
        <v>468768</v>
      </c>
      <c r="B126" s="3" t="s">
        <v>636</v>
      </c>
      <c r="C126" s="3" t="str">
        <f>"9780470190883"</f>
        <v>9780470190883</v>
      </c>
      <c r="D126" s="3" t="str">
        <f>"9780470449165"</f>
        <v>9780470449165</v>
      </c>
      <c r="E126" s="3" t="s">
        <v>637</v>
      </c>
      <c r="F126" s="3" t="s">
        <v>637</v>
      </c>
      <c r="G126" s="4">
        <v>39923</v>
      </c>
      <c r="H126" s="3" t="s">
        <v>20</v>
      </c>
      <c r="I126" s="3">
        <v>1</v>
      </c>
      <c r="J126" s="3"/>
      <c r="K126" s="3" t="s">
        <v>638</v>
      </c>
      <c r="L126" s="3" t="s">
        <v>514</v>
      </c>
      <c r="M126" s="3" t="s">
        <v>639</v>
      </c>
      <c r="N126" s="3">
        <v>152.4</v>
      </c>
      <c r="O126" s="3" t="s">
        <v>640</v>
      </c>
      <c r="P126" s="3" t="s">
        <v>25</v>
      </c>
      <c r="Q126" s="3" t="s">
        <v>4741</v>
      </c>
    </row>
    <row r="127" spans="1:17">
      <c r="A127" s="3">
        <v>469266</v>
      </c>
      <c r="B127" s="3" t="s">
        <v>641</v>
      </c>
      <c r="C127" s="3" t="str">
        <f>"9780470373736"</f>
        <v>9780470373736</v>
      </c>
      <c r="D127" s="3" t="str">
        <f>"9780470605455"</f>
        <v>9780470605455</v>
      </c>
      <c r="E127" s="3" t="s">
        <v>32</v>
      </c>
      <c r="F127" s="3" t="s">
        <v>530</v>
      </c>
      <c r="G127" s="4">
        <v>40168</v>
      </c>
      <c r="H127" s="3" t="s">
        <v>20</v>
      </c>
      <c r="I127" s="3">
        <v>1</v>
      </c>
      <c r="J127" s="3"/>
      <c r="K127" s="3" t="s">
        <v>642</v>
      </c>
      <c r="L127" s="3" t="s">
        <v>532</v>
      </c>
      <c r="M127" s="3" t="s">
        <v>643</v>
      </c>
      <c r="N127" s="3" t="s">
        <v>644</v>
      </c>
      <c r="O127" s="3" t="s">
        <v>645</v>
      </c>
      <c r="P127" s="3" t="s">
        <v>25</v>
      </c>
      <c r="Q127" s="3" t="s">
        <v>4742</v>
      </c>
    </row>
    <row r="128" spans="1:17">
      <c r="A128" s="3">
        <v>469605</v>
      </c>
      <c r="B128" s="3" t="s">
        <v>646</v>
      </c>
      <c r="C128" s="3" t="str">
        <f>"9780470323175"</f>
        <v>9780470323175</v>
      </c>
      <c r="D128" s="3" t="str">
        <f>"9780470466889"</f>
        <v>9780470466889</v>
      </c>
      <c r="E128" s="3" t="s">
        <v>32</v>
      </c>
      <c r="F128" s="3" t="s">
        <v>32</v>
      </c>
      <c r="G128" s="4">
        <v>39881</v>
      </c>
      <c r="H128" s="3" t="s">
        <v>20</v>
      </c>
      <c r="I128" s="3">
        <v>1</v>
      </c>
      <c r="J128" s="3" t="s">
        <v>647</v>
      </c>
      <c r="K128" s="3" t="s">
        <v>648</v>
      </c>
      <c r="L128" s="3" t="s">
        <v>649</v>
      </c>
      <c r="M128" s="3" t="s">
        <v>650</v>
      </c>
      <c r="N128" s="3" t="s">
        <v>651</v>
      </c>
      <c r="O128" s="3" t="s">
        <v>652</v>
      </c>
      <c r="P128" s="3" t="s">
        <v>25</v>
      </c>
      <c r="Q128" s="3" t="s">
        <v>4743</v>
      </c>
    </row>
    <row r="129" spans="1:17">
      <c r="A129" s="3">
        <v>470111</v>
      </c>
      <c r="B129" s="3" t="s">
        <v>653</v>
      </c>
      <c r="C129" s="3" t="str">
        <f>"9781444309898"</f>
        <v>9781444309898</v>
      </c>
      <c r="D129" s="3" t="str">
        <f>"9781444309904"</f>
        <v>9781444309904</v>
      </c>
      <c r="E129" s="3" t="s">
        <v>32</v>
      </c>
      <c r="F129" s="3" t="s">
        <v>33</v>
      </c>
      <c r="G129" s="4">
        <v>40126</v>
      </c>
      <c r="H129" s="3" t="s">
        <v>20</v>
      </c>
      <c r="I129" s="3">
        <v>1</v>
      </c>
      <c r="J129" s="3"/>
      <c r="K129" s="3" t="s">
        <v>654</v>
      </c>
      <c r="L129" s="3" t="s">
        <v>655</v>
      </c>
      <c r="M129" s="3" t="s">
        <v>656</v>
      </c>
      <c r="N129" s="3">
        <v>800</v>
      </c>
      <c r="O129" s="3" t="s">
        <v>657</v>
      </c>
      <c r="P129" s="3" t="s">
        <v>25</v>
      </c>
      <c r="Q129" s="3" t="s">
        <v>4744</v>
      </c>
    </row>
    <row r="130" spans="1:17">
      <c r="A130" s="3">
        <v>470171</v>
      </c>
      <c r="B130" s="3" t="s">
        <v>658</v>
      </c>
      <c r="C130" s="3" t="str">
        <f>"9780470682357"</f>
        <v>9780470682357</v>
      </c>
      <c r="D130" s="3" t="str">
        <f>"9780470682395"</f>
        <v>9780470682395</v>
      </c>
      <c r="E130" s="3" t="s">
        <v>32</v>
      </c>
      <c r="F130" s="3" t="s">
        <v>33</v>
      </c>
      <c r="G130" s="4">
        <v>40164</v>
      </c>
      <c r="H130" s="3" t="s">
        <v>20</v>
      </c>
      <c r="I130" s="3">
        <v>3</v>
      </c>
      <c r="J130" s="3"/>
      <c r="K130" s="3" t="s">
        <v>659</v>
      </c>
      <c r="L130" s="3" t="s">
        <v>660</v>
      </c>
      <c r="M130" s="3" t="s">
        <v>661</v>
      </c>
      <c r="N130" s="3">
        <v>158.69999999999999</v>
      </c>
      <c r="O130" s="3" t="s">
        <v>662</v>
      </c>
      <c r="P130" s="3" t="s">
        <v>25</v>
      </c>
      <c r="Q130" s="3" t="s">
        <v>4745</v>
      </c>
    </row>
    <row r="131" spans="1:17">
      <c r="A131" s="3">
        <v>470451</v>
      </c>
      <c r="B131" s="3" t="s">
        <v>663</v>
      </c>
      <c r="C131" s="3" t="str">
        <f>"9781118492147"</f>
        <v>9781118492147</v>
      </c>
      <c r="D131" s="3" t="str">
        <f>"9780470695715"</f>
        <v>9780470695715</v>
      </c>
      <c r="E131" s="3" t="s">
        <v>32</v>
      </c>
      <c r="F131" s="3" t="s">
        <v>33</v>
      </c>
      <c r="G131" s="4">
        <v>39566</v>
      </c>
      <c r="H131" s="3" t="s">
        <v>20</v>
      </c>
      <c r="I131" s="3">
        <v>1</v>
      </c>
      <c r="J131" s="3" t="s">
        <v>398</v>
      </c>
      <c r="K131" s="3" t="s">
        <v>664</v>
      </c>
      <c r="L131" s="3" t="s">
        <v>22</v>
      </c>
      <c r="M131" s="3" t="s">
        <v>665</v>
      </c>
      <c r="N131" s="3" t="s">
        <v>666</v>
      </c>
      <c r="O131" s="3" t="s">
        <v>667</v>
      </c>
      <c r="P131" s="3" t="s">
        <v>25</v>
      </c>
      <c r="Q131" s="3" t="s">
        <v>4746</v>
      </c>
    </row>
    <row r="132" spans="1:17">
      <c r="A132" s="3">
        <v>471786</v>
      </c>
      <c r="B132" s="3" t="s">
        <v>668</v>
      </c>
      <c r="C132" s="3" t="str">
        <f>"9780226475394"</f>
        <v>9780226475394</v>
      </c>
      <c r="D132" s="3" t="str">
        <f>"9780226756110"</f>
        <v>9780226756110</v>
      </c>
      <c r="E132" s="3" t="s">
        <v>669</v>
      </c>
      <c r="F132" s="3" t="s">
        <v>669</v>
      </c>
      <c r="G132" s="4">
        <v>40071</v>
      </c>
      <c r="H132" s="3" t="s">
        <v>20</v>
      </c>
      <c r="I132" s="3"/>
      <c r="J132" s="3"/>
      <c r="K132" s="3" t="s">
        <v>670</v>
      </c>
      <c r="L132" s="3" t="s">
        <v>64</v>
      </c>
      <c r="M132" s="3" t="s">
        <v>671</v>
      </c>
      <c r="N132" s="3">
        <v>305.2303</v>
      </c>
      <c r="O132" s="3" t="s">
        <v>672</v>
      </c>
      <c r="P132" s="3" t="s">
        <v>25</v>
      </c>
      <c r="Q132" s="3" t="s">
        <v>4747</v>
      </c>
    </row>
    <row r="133" spans="1:17">
      <c r="A133" s="3">
        <v>471976</v>
      </c>
      <c r="B133" s="3" t="s">
        <v>673</v>
      </c>
      <c r="C133" s="3" t="str">
        <f>"9780521899055"</f>
        <v>9780521899055</v>
      </c>
      <c r="D133" s="3" t="str">
        <f>"9780511656705"</f>
        <v>9780511656705</v>
      </c>
      <c r="E133" s="3" t="s">
        <v>41</v>
      </c>
      <c r="F133" s="3" t="s">
        <v>41</v>
      </c>
      <c r="G133" s="4">
        <v>40116</v>
      </c>
      <c r="H133" s="3" t="s">
        <v>20</v>
      </c>
      <c r="I133" s="3"/>
      <c r="J133" s="3"/>
      <c r="K133" s="3" t="s">
        <v>674</v>
      </c>
      <c r="L133" s="3" t="s">
        <v>354</v>
      </c>
      <c r="M133" s="3" t="s">
        <v>675</v>
      </c>
      <c r="N133" s="3" t="s">
        <v>676</v>
      </c>
      <c r="O133" s="3" t="s">
        <v>677</v>
      </c>
      <c r="P133" s="3" t="s">
        <v>25</v>
      </c>
      <c r="Q133" s="3" t="s">
        <v>4748</v>
      </c>
    </row>
    <row r="134" spans="1:17">
      <c r="A134" s="3">
        <v>471981</v>
      </c>
      <c r="B134" s="3" t="s">
        <v>678</v>
      </c>
      <c r="C134" s="3" t="str">
        <f>"9780521491945"</f>
        <v>9780521491945</v>
      </c>
      <c r="D134" s="3" t="str">
        <f>"9780511656644"</f>
        <v>9780511656644</v>
      </c>
      <c r="E134" s="3" t="s">
        <v>41</v>
      </c>
      <c r="F134" s="3" t="s">
        <v>41</v>
      </c>
      <c r="G134" s="4">
        <v>40133</v>
      </c>
      <c r="H134" s="3" t="s">
        <v>20</v>
      </c>
      <c r="I134" s="3">
        <v>2</v>
      </c>
      <c r="J134" s="3"/>
      <c r="K134" s="3" t="s">
        <v>679</v>
      </c>
      <c r="L134" s="3" t="s">
        <v>680</v>
      </c>
      <c r="M134" s="3" t="s">
        <v>681</v>
      </c>
      <c r="N134" s="3" t="s">
        <v>682</v>
      </c>
      <c r="O134" s="3" t="s">
        <v>683</v>
      </c>
      <c r="P134" s="3" t="s">
        <v>25</v>
      </c>
      <c r="Q134" s="3" t="s">
        <v>4749</v>
      </c>
    </row>
    <row r="135" spans="1:17">
      <c r="A135" s="3">
        <v>474853</v>
      </c>
      <c r="B135" s="3" t="s">
        <v>684</v>
      </c>
      <c r="C135" s="3" t="str">
        <f>"9780230235502"</f>
        <v>9780230235502</v>
      </c>
      <c r="D135" s="3" t="str">
        <f>"9780230251076"</f>
        <v>9780230251076</v>
      </c>
      <c r="E135" s="3" t="s">
        <v>191</v>
      </c>
      <c r="F135" s="3" t="s">
        <v>192</v>
      </c>
      <c r="G135" s="4">
        <v>40095</v>
      </c>
      <c r="H135" s="3" t="s">
        <v>20</v>
      </c>
      <c r="I135" s="3"/>
      <c r="J135" s="3"/>
      <c r="K135" s="3" t="s">
        <v>685</v>
      </c>
      <c r="L135" s="3" t="s">
        <v>36</v>
      </c>
      <c r="M135" s="3" t="s">
        <v>686</v>
      </c>
      <c r="N135" s="3" t="s">
        <v>687</v>
      </c>
      <c r="O135" s="3" t="s">
        <v>688</v>
      </c>
      <c r="P135" s="3" t="s">
        <v>25</v>
      </c>
      <c r="Q135" s="3" t="s">
        <v>4750</v>
      </c>
    </row>
    <row r="136" spans="1:17">
      <c r="A136" s="3">
        <v>477852</v>
      </c>
      <c r="B136" s="3" t="s">
        <v>689</v>
      </c>
      <c r="C136" s="3" t="str">
        <f>"9781405139007"</f>
        <v>9781405139007</v>
      </c>
      <c r="D136" s="3" t="str">
        <f>"9781444315097"</f>
        <v>9781444315097</v>
      </c>
      <c r="E136" s="3" t="s">
        <v>32</v>
      </c>
      <c r="F136" s="3" t="s">
        <v>33</v>
      </c>
      <c r="G136" s="4">
        <v>40224</v>
      </c>
      <c r="H136" s="3" t="s">
        <v>20</v>
      </c>
      <c r="I136" s="3">
        <v>2</v>
      </c>
      <c r="J136" s="3" t="s">
        <v>186</v>
      </c>
      <c r="K136" s="3" t="s">
        <v>690</v>
      </c>
      <c r="L136" s="3" t="s">
        <v>182</v>
      </c>
      <c r="M136" s="3" t="s">
        <v>691</v>
      </c>
      <c r="N136" s="3">
        <v>121</v>
      </c>
      <c r="O136" s="3" t="s">
        <v>692</v>
      </c>
      <c r="P136" s="3" t="s">
        <v>25</v>
      </c>
      <c r="Q136" s="3" t="s">
        <v>4751</v>
      </c>
    </row>
    <row r="137" spans="1:17">
      <c r="A137" s="3">
        <v>477882</v>
      </c>
      <c r="B137" s="3" t="s">
        <v>693</v>
      </c>
      <c r="C137" s="3" t="str">
        <f>"9781444318111"</f>
        <v>9781444318111</v>
      </c>
      <c r="D137" s="3" t="str">
        <f>"9781118808641"</f>
        <v>9781118808641</v>
      </c>
      <c r="E137" s="3" t="s">
        <v>32</v>
      </c>
      <c r="F137" s="3" t="s">
        <v>33</v>
      </c>
      <c r="G137" s="4">
        <v>40231</v>
      </c>
      <c r="H137" s="3" t="s">
        <v>20</v>
      </c>
      <c r="I137" s="3">
        <v>1</v>
      </c>
      <c r="J137" s="3"/>
      <c r="K137" s="3" t="s">
        <v>694</v>
      </c>
      <c r="L137" s="3" t="s">
        <v>514</v>
      </c>
      <c r="M137" s="3" t="s">
        <v>695</v>
      </c>
      <c r="N137" s="3">
        <v>155.19999999999999</v>
      </c>
      <c r="O137" s="3" t="s">
        <v>696</v>
      </c>
      <c r="P137" s="3" t="s">
        <v>25</v>
      </c>
      <c r="Q137" s="3" t="s">
        <v>4752</v>
      </c>
    </row>
    <row r="138" spans="1:17">
      <c r="A138" s="3">
        <v>480377</v>
      </c>
      <c r="B138" s="3" t="s">
        <v>697</v>
      </c>
      <c r="C138" s="3" t="str">
        <f>"9781905356430"</f>
        <v>9781905356430</v>
      </c>
      <c r="D138" s="3" t="str">
        <f>"9781905356447"</f>
        <v>9781905356447</v>
      </c>
      <c r="E138" s="3" t="s">
        <v>698</v>
      </c>
      <c r="F138" s="3" t="s">
        <v>699</v>
      </c>
      <c r="G138" s="4">
        <v>39133</v>
      </c>
      <c r="H138" s="3" t="s">
        <v>20</v>
      </c>
      <c r="I138" s="3">
        <v>1</v>
      </c>
      <c r="J138" s="3"/>
      <c r="K138" s="3" t="s">
        <v>700</v>
      </c>
      <c r="L138" s="3" t="s">
        <v>36</v>
      </c>
      <c r="M138" s="3" t="s">
        <v>701</v>
      </c>
      <c r="N138" s="3">
        <v>658.47799999999995</v>
      </c>
      <c r="O138" s="3" t="s">
        <v>702</v>
      </c>
      <c r="P138" s="3" t="s">
        <v>25</v>
      </c>
      <c r="Q138" s="3" t="s">
        <v>4753</v>
      </c>
    </row>
    <row r="139" spans="1:17">
      <c r="A139" s="3">
        <v>480428</v>
      </c>
      <c r="B139" s="3" t="s">
        <v>703</v>
      </c>
      <c r="C139" s="3" t="str">
        <f>"9781405163576"</f>
        <v>9781405163576</v>
      </c>
      <c r="D139" s="3" t="str">
        <f>"9781444320169"</f>
        <v>9781444320169</v>
      </c>
      <c r="E139" s="3" t="s">
        <v>32</v>
      </c>
      <c r="F139" s="3" t="s">
        <v>33</v>
      </c>
      <c r="G139" s="4">
        <v>40280</v>
      </c>
      <c r="H139" s="3" t="s">
        <v>20</v>
      </c>
      <c r="I139" s="3">
        <v>2</v>
      </c>
      <c r="J139" s="3" t="s">
        <v>186</v>
      </c>
      <c r="K139" s="3" t="s">
        <v>704</v>
      </c>
      <c r="L139" s="3" t="s">
        <v>118</v>
      </c>
      <c r="M139" s="3" t="s">
        <v>705</v>
      </c>
      <c r="N139" s="3">
        <v>210</v>
      </c>
      <c r="O139" s="3" t="s">
        <v>706</v>
      </c>
      <c r="P139" s="3" t="s">
        <v>25</v>
      </c>
      <c r="Q139" s="3" t="s">
        <v>4754</v>
      </c>
    </row>
    <row r="140" spans="1:17">
      <c r="A140" s="3">
        <v>480446</v>
      </c>
      <c r="B140" s="3" t="s">
        <v>707</v>
      </c>
      <c r="C140" s="3" t="str">
        <f>"9781405167659"</f>
        <v>9781405167659</v>
      </c>
      <c r="D140" s="3" t="str">
        <f>"9781444317923"</f>
        <v>9781444317923</v>
      </c>
      <c r="E140" s="3" t="s">
        <v>32</v>
      </c>
      <c r="F140" s="3" t="s">
        <v>33</v>
      </c>
      <c r="G140" s="4">
        <v>40252</v>
      </c>
      <c r="H140" s="3" t="s">
        <v>20</v>
      </c>
      <c r="I140" s="3">
        <v>1</v>
      </c>
      <c r="J140" s="3" t="s">
        <v>398</v>
      </c>
      <c r="K140" s="3" t="s">
        <v>708</v>
      </c>
      <c r="L140" s="3" t="s">
        <v>22</v>
      </c>
      <c r="M140" s="3" t="s">
        <v>709</v>
      </c>
      <c r="N140" s="3">
        <v>809.38720000000001</v>
      </c>
      <c r="O140" s="3" t="s">
        <v>710</v>
      </c>
      <c r="P140" s="3" t="s">
        <v>25</v>
      </c>
      <c r="Q140" s="3" t="s">
        <v>4755</v>
      </c>
    </row>
    <row r="141" spans="1:17">
      <c r="A141" s="3">
        <v>480452</v>
      </c>
      <c r="B141" s="3" t="s">
        <v>711</v>
      </c>
      <c r="C141" s="3" t="str">
        <f>"9781405192156"</f>
        <v>9781405192156</v>
      </c>
      <c r="D141" s="3" t="str">
        <f>"9781444317985"</f>
        <v>9781444317985</v>
      </c>
      <c r="E141" s="3" t="s">
        <v>32</v>
      </c>
      <c r="F141" s="3" t="s">
        <v>33</v>
      </c>
      <c r="G141" s="4">
        <v>40266</v>
      </c>
      <c r="H141" s="3" t="s">
        <v>20</v>
      </c>
      <c r="I141" s="3">
        <v>1</v>
      </c>
      <c r="J141" s="3" t="s">
        <v>712</v>
      </c>
      <c r="K141" s="3" t="s">
        <v>713</v>
      </c>
      <c r="L141" s="3" t="s">
        <v>714</v>
      </c>
      <c r="M141" s="3" t="s">
        <v>715</v>
      </c>
      <c r="N141" s="3">
        <v>333.33800000000002</v>
      </c>
      <c r="O141" s="3" t="s">
        <v>716</v>
      </c>
      <c r="P141" s="3" t="s">
        <v>25</v>
      </c>
      <c r="Q141" s="3" t="s">
        <v>4756</v>
      </c>
    </row>
    <row r="142" spans="1:17">
      <c r="A142" s="3">
        <v>480455</v>
      </c>
      <c r="B142" s="3" t="s">
        <v>717</v>
      </c>
      <c r="C142" s="3" t="str">
        <f>"9781405184816"</f>
        <v>9781405184816</v>
      </c>
      <c r="D142" s="3" t="str">
        <f>"9781444318944"</f>
        <v>9781444318944</v>
      </c>
      <c r="E142" s="3" t="s">
        <v>32</v>
      </c>
      <c r="F142" s="3" t="s">
        <v>33</v>
      </c>
      <c r="G142" s="4">
        <v>39504</v>
      </c>
      <c r="H142" s="3" t="s">
        <v>20</v>
      </c>
      <c r="I142" s="3">
        <v>1</v>
      </c>
      <c r="J142" s="3" t="s">
        <v>718</v>
      </c>
      <c r="K142" s="3" t="s">
        <v>719</v>
      </c>
      <c r="L142" s="3" t="s">
        <v>118</v>
      </c>
      <c r="M142" s="3" t="s">
        <v>720</v>
      </c>
      <c r="N142" s="3">
        <v>225.6</v>
      </c>
      <c r="O142" s="3" t="s">
        <v>721</v>
      </c>
      <c r="P142" s="3" t="s">
        <v>25</v>
      </c>
      <c r="Q142" s="3" t="s">
        <v>4757</v>
      </c>
    </row>
    <row r="143" spans="1:17">
      <c r="A143" s="3">
        <v>480460</v>
      </c>
      <c r="B143" s="3" t="s">
        <v>722</v>
      </c>
      <c r="C143" s="3" t="str">
        <f>"9781405154772"</f>
        <v>9781405154772</v>
      </c>
      <c r="D143" s="3" t="str">
        <f>"9781444317220"</f>
        <v>9781444317220</v>
      </c>
      <c r="E143" s="3" t="s">
        <v>32</v>
      </c>
      <c r="F143" s="3" t="s">
        <v>33</v>
      </c>
      <c r="G143" s="4">
        <v>40245</v>
      </c>
      <c r="H143" s="3" t="s">
        <v>20</v>
      </c>
      <c r="I143" s="3">
        <v>1</v>
      </c>
      <c r="J143" s="3" t="s">
        <v>398</v>
      </c>
      <c r="K143" s="3" t="s">
        <v>723</v>
      </c>
      <c r="L143" s="3" t="s">
        <v>22</v>
      </c>
      <c r="M143" s="3" t="s">
        <v>724</v>
      </c>
      <c r="N143" s="3">
        <v>820.90020000000004</v>
      </c>
      <c r="O143" s="3" t="s">
        <v>725</v>
      </c>
      <c r="P143" s="3" t="s">
        <v>25</v>
      </c>
      <c r="Q143" s="3" t="s">
        <v>4758</v>
      </c>
    </row>
    <row r="144" spans="1:17">
      <c r="A144" s="3">
        <v>480482</v>
      </c>
      <c r="B144" s="3" t="s">
        <v>726</v>
      </c>
      <c r="C144" s="3" t="str">
        <f>"9781405146913"</f>
        <v>9781405146913</v>
      </c>
      <c r="D144" s="3" t="str">
        <f>"9781444310115"</f>
        <v>9781444310115</v>
      </c>
      <c r="E144" s="3" t="s">
        <v>32</v>
      </c>
      <c r="F144" s="3" t="s">
        <v>33</v>
      </c>
      <c r="G144" s="4">
        <v>40126</v>
      </c>
      <c r="H144" s="3" t="s">
        <v>20</v>
      </c>
      <c r="I144" s="3">
        <v>1</v>
      </c>
      <c r="J144" s="3" t="s">
        <v>398</v>
      </c>
      <c r="K144" s="3" t="s">
        <v>727</v>
      </c>
      <c r="L144" s="3" t="s">
        <v>22</v>
      </c>
      <c r="M144" s="3" t="s">
        <v>728</v>
      </c>
      <c r="N144" s="3">
        <v>813.50900000000001</v>
      </c>
      <c r="O144" s="3" t="s">
        <v>729</v>
      </c>
      <c r="P144" s="3" t="s">
        <v>25</v>
      </c>
      <c r="Q144" s="3" t="s">
        <v>4759</v>
      </c>
    </row>
    <row r="145" spans="1:17">
      <c r="A145" s="3">
        <v>483306</v>
      </c>
      <c r="B145" s="3" t="s">
        <v>730</v>
      </c>
      <c r="C145" s="3" t="str">
        <f>"9781412947046"</f>
        <v>9781412947046</v>
      </c>
      <c r="D145" s="3" t="str">
        <f>"9780857023124"</f>
        <v>9780857023124</v>
      </c>
      <c r="E145" s="3" t="s">
        <v>253</v>
      </c>
      <c r="F145" s="3" t="s">
        <v>253</v>
      </c>
      <c r="G145" s="4">
        <v>39786</v>
      </c>
      <c r="H145" s="3" t="s">
        <v>20</v>
      </c>
      <c r="I145" s="3">
        <v>1</v>
      </c>
      <c r="J145" s="3"/>
      <c r="K145" s="3" t="s">
        <v>731</v>
      </c>
      <c r="L145" s="3" t="s">
        <v>568</v>
      </c>
      <c r="M145" s="3" t="s">
        <v>732</v>
      </c>
      <c r="N145" s="3">
        <v>363.7</v>
      </c>
      <c r="O145" s="3" t="s">
        <v>733</v>
      </c>
      <c r="P145" s="3" t="s">
        <v>25</v>
      </c>
      <c r="Q145" s="3" t="s">
        <v>4760</v>
      </c>
    </row>
    <row r="146" spans="1:17">
      <c r="A146" s="3">
        <v>485195</v>
      </c>
      <c r="B146" s="3" t="s">
        <v>734</v>
      </c>
      <c r="C146" s="3" t="str">
        <f>"9781615353217"</f>
        <v>9781615353217</v>
      </c>
      <c r="D146" s="3" t="str">
        <f>"9781615353637"</f>
        <v>9781615353637</v>
      </c>
      <c r="E146" s="3" t="s">
        <v>359</v>
      </c>
      <c r="F146" s="3" t="s">
        <v>360</v>
      </c>
      <c r="G146" s="4">
        <v>40179</v>
      </c>
      <c r="H146" s="3" t="s">
        <v>20</v>
      </c>
      <c r="I146" s="3">
        <v>1</v>
      </c>
      <c r="J146" s="3" t="s">
        <v>735</v>
      </c>
      <c r="K146" s="3" t="s">
        <v>736</v>
      </c>
      <c r="L146" s="3" t="s">
        <v>737</v>
      </c>
      <c r="M146" s="3" t="s">
        <v>738</v>
      </c>
      <c r="N146" s="3">
        <v>32</v>
      </c>
      <c r="O146" s="3" t="s">
        <v>739</v>
      </c>
      <c r="P146" s="3" t="s">
        <v>25</v>
      </c>
      <c r="Q146" s="3" t="s">
        <v>4761</v>
      </c>
    </row>
    <row r="147" spans="1:17">
      <c r="A147" s="3">
        <v>485290</v>
      </c>
      <c r="B147" s="3" t="s">
        <v>740</v>
      </c>
      <c r="C147" s="3" t="str">
        <f>"9780230532601"</f>
        <v>9780230532601</v>
      </c>
      <c r="D147" s="3" t="str">
        <f>"9780230274686"</f>
        <v>9780230274686</v>
      </c>
      <c r="E147" s="3" t="s">
        <v>191</v>
      </c>
      <c r="F147" s="3" t="s">
        <v>192</v>
      </c>
      <c r="G147" s="4">
        <v>39920</v>
      </c>
      <c r="H147" s="3" t="s">
        <v>20</v>
      </c>
      <c r="I147" s="3"/>
      <c r="J147" s="3"/>
      <c r="K147" s="3" t="s">
        <v>741</v>
      </c>
      <c r="L147" s="3" t="s">
        <v>64</v>
      </c>
      <c r="M147" s="3" t="s">
        <v>742</v>
      </c>
      <c r="N147" s="3">
        <v>305.23</v>
      </c>
      <c r="O147" s="3" t="s">
        <v>743</v>
      </c>
      <c r="P147" s="3" t="s">
        <v>25</v>
      </c>
      <c r="Q147" s="3" t="s">
        <v>4762</v>
      </c>
    </row>
    <row r="148" spans="1:17">
      <c r="A148" s="3">
        <v>485668</v>
      </c>
      <c r="B148" s="3" t="s">
        <v>744</v>
      </c>
      <c r="C148" s="3" t="str">
        <f>"9781405155403"</f>
        <v>9781405155403</v>
      </c>
      <c r="D148" s="3" t="str">
        <f>"9781444319194"</f>
        <v>9781444319194</v>
      </c>
      <c r="E148" s="3" t="s">
        <v>32</v>
      </c>
      <c r="F148" s="3" t="s">
        <v>33</v>
      </c>
      <c r="G148" s="4">
        <v>40266</v>
      </c>
      <c r="H148" s="3" t="s">
        <v>20</v>
      </c>
      <c r="I148" s="3">
        <v>1</v>
      </c>
      <c r="J148" s="3" t="s">
        <v>111</v>
      </c>
      <c r="K148" s="3" t="s">
        <v>745</v>
      </c>
      <c r="L148" s="3" t="s">
        <v>746</v>
      </c>
      <c r="M148" s="3" t="s">
        <v>747</v>
      </c>
      <c r="N148" s="3" t="s">
        <v>510</v>
      </c>
      <c r="O148" s="3" t="s">
        <v>748</v>
      </c>
      <c r="P148" s="3" t="s">
        <v>25</v>
      </c>
      <c r="Q148" s="3" t="s">
        <v>4763</v>
      </c>
    </row>
    <row r="149" spans="1:17">
      <c r="A149" s="3">
        <v>485674</v>
      </c>
      <c r="B149" s="3" t="s">
        <v>749</v>
      </c>
      <c r="C149" s="3" t="str">
        <f>"9781405126540"</f>
        <v>9781405126540</v>
      </c>
      <c r="D149" s="3" t="str">
        <f>"9781444320022"</f>
        <v>9781444320022</v>
      </c>
      <c r="E149" s="3" t="s">
        <v>32</v>
      </c>
      <c r="F149" s="3" t="s">
        <v>32</v>
      </c>
      <c r="G149" s="4">
        <v>40294</v>
      </c>
      <c r="H149" s="3" t="s">
        <v>20</v>
      </c>
      <c r="I149" s="3">
        <v>1</v>
      </c>
      <c r="J149" s="3" t="s">
        <v>111</v>
      </c>
      <c r="K149" s="3" t="s">
        <v>750</v>
      </c>
      <c r="L149" s="3" t="s">
        <v>58</v>
      </c>
      <c r="M149" s="3" t="s">
        <v>751</v>
      </c>
      <c r="N149" s="3" t="s">
        <v>752</v>
      </c>
      <c r="O149" s="3" t="s">
        <v>753</v>
      </c>
      <c r="P149" s="3" t="s">
        <v>25</v>
      </c>
      <c r="Q149" s="3" t="s">
        <v>4764</v>
      </c>
    </row>
    <row r="150" spans="1:17">
      <c r="A150" s="3">
        <v>487665</v>
      </c>
      <c r="B150" s="3" t="s">
        <v>754</v>
      </c>
      <c r="C150" s="3" t="str">
        <f>"9780470407011"</f>
        <v>9780470407011</v>
      </c>
      <c r="D150" s="3" t="str">
        <f>"9780470639573"</f>
        <v>9780470639573</v>
      </c>
      <c r="E150" s="3" t="s">
        <v>32</v>
      </c>
      <c r="F150" s="3" t="s">
        <v>530</v>
      </c>
      <c r="G150" s="4">
        <v>40221</v>
      </c>
      <c r="H150" s="3" t="s">
        <v>20</v>
      </c>
      <c r="I150" s="3">
        <v>1</v>
      </c>
      <c r="J150" s="3"/>
      <c r="K150" s="3" t="s">
        <v>755</v>
      </c>
      <c r="L150" s="3" t="s">
        <v>532</v>
      </c>
      <c r="M150" s="3" t="s">
        <v>756</v>
      </c>
      <c r="N150" s="3" t="s">
        <v>757</v>
      </c>
      <c r="O150" s="3" t="s">
        <v>758</v>
      </c>
      <c r="P150" s="3" t="s">
        <v>25</v>
      </c>
      <c r="Q150" s="3" t="s">
        <v>4765</v>
      </c>
    </row>
    <row r="151" spans="1:17">
      <c r="A151" s="3">
        <v>487727</v>
      </c>
      <c r="B151" s="3" t="s">
        <v>759</v>
      </c>
      <c r="C151" s="3" t="str">
        <f>"9781405115438"</f>
        <v>9781405115438</v>
      </c>
      <c r="D151" s="3" t="str">
        <f>"9781444319927"</f>
        <v>9781444319927</v>
      </c>
      <c r="E151" s="3" t="s">
        <v>32</v>
      </c>
      <c r="F151" s="3" t="s">
        <v>33</v>
      </c>
      <c r="G151" s="4">
        <v>40252</v>
      </c>
      <c r="H151" s="3" t="s">
        <v>20</v>
      </c>
      <c r="I151" s="3">
        <v>1</v>
      </c>
      <c r="J151" s="3" t="s">
        <v>398</v>
      </c>
      <c r="K151" s="3" t="s">
        <v>760</v>
      </c>
      <c r="L151" s="3" t="s">
        <v>22</v>
      </c>
      <c r="M151" s="3" t="s">
        <v>761</v>
      </c>
      <c r="N151" s="3" t="s">
        <v>762</v>
      </c>
      <c r="O151" s="3" t="s">
        <v>763</v>
      </c>
      <c r="P151" s="3" t="s">
        <v>25</v>
      </c>
      <c r="Q151" s="3" t="s">
        <v>4766</v>
      </c>
    </row>
    <row r="152" spans="1:17">
      <c r="A152" s="3">
        <v>487736</v>
      </c>
      <c r="B152" s="3" t="s">
        <v>764</v>
      </c>
      <c r="C152" s="3" t="str">
        <f>"9781405187626"</f>
        <v>9781405187626</v>
      </c>
      <c r="D152" s="3" t="str">
        <f>"9781444319026"</f>
        <v>9781444319026</v>
      </c>
      <c r="E152" s="3" t="s">
        <v>32</v>
      </c>
      <c r="F152" s="3" t="s">
        <v>33</v>
      </c>
      <c r="G152" s="4">
        <v>40308</v>
      </c>
      <c r="H152" s="3" t="s">
        <v>20</v>
      </c>
      <c r="I152" s="3">
        <v>1</v>
      </c>
      <c r="J152" s="3" t="s">
        <v>398</v>
      </c>
      <c r="K152" s="3" t="s">
        <v>765</v>
      </c>
      <c r="L152" s="3" t="s">
        <v>22</v>
      </c>
      <c r="M152" s="3" t="s">
        <v>766</v>
      </c>
      <c r="N152" s="3">
        <v>820.90030000000002</v>
      </c>
      <c r="O152" s="3" t="s">
        <v>767</v>
      </c>
      <c r="P152" s="3" t="s">
        <v>25</v>
      </c>
      <c r="Q152" s="3" t="s">
        <v>4767</v>
      </c>
    </row>
    <row r="153" spans="1:17">
      <c r="A153" s="3">
        <v>487738</v>
      </c>
      <c r="B153" s="3" t="s">
        <v>768</v>
      </c>
      <c r="C153" s="3" t="str">
        <f>"9780631208921"</f>
        <v>9780631208921</v>
      </c>
      <c r="D153" s="3" t="str">
        <f>"9781444320633"</f>
        <v>9781444320633</v>
      </c>
      <c r="E153" s="3" t="s">
        <v>32</v>
      </c>
      <c r="F153" s="3" t="s">
        <v>33</v>
      </c>
      <c r="G153" s="4">
        <v>40280</v>
      </c>
      <c r="H153" s="3" t="s">
        <v>20</v>
      </c>
      <c r="I153" s="3">
        <v>1</v>
      </c>
      <c r="J153" s="3" t="s">
        <v>398</v>
      </c>
      <c r="K153" s="3" t="s">
        <v>769</v>
      </c>
      <c r="L153" s="3" t="s">
        <v>22</v>
      </c>
      <c r="M153" s="3" t="s">
        <v>770</v>
      </c>
      <c r="N153" s="3">
        <v>810.9</v>
      </c>
      <c r="O153" s="3" t="s">
        <v>771</v>
      </c>
      <c r="P153" s="3" t="s">
        <v>25</v>
      </c>
      <c r="Q153" s="3" t="s">
        <v>4768</v>
      </c>
    </row>
    <row r="154" spans="1:17">
      <c r="A154" s="3">
        <v>487740</v>
      </c>
      <c r="B154" s="3" t="s">
        <v>772</v>
      </c>
      <c r="C154" s="3" t="str">
        <f>"9781405109246"</f>
        <v>9781405109246</v>
      </c>
      <c r="D154" s="3" t="str">
        <f>"9781444319088"</f>
        <v>9781444319088</v>
      </c>
      <c r="E154" s="3" t="s">
        <v>32</v>
      </c>
      <c r="F154" s="3" t="s">
        <v>33</v>
      </c>
      <c r="G154" s="4">
        <v>40308</v>
      </c>
      <c r="H154" s="3" t="s">
        <v>20</v>
      </c>
      <c r="I154" s="3">
        <v>1</v>
      </c>
      <c r="J154" s="3" t="s">
        <v>223</v>
      </c>
      <c r="K154" s="3" t="s">
        <v>773</v>
      </c>
      <c r="L154" s="3" t="s">
        <v>58</v>
      </c>
      <c r="M154" s="3" t="s">
        <v>774</v>
      </c>
      <c r="N154" s="3">
        <v>973</v>
      </c>
      <c r="O154" s="3" t="s">
        <v>775</v>
      </c>
      <c r="P154" s="3" t="s">
        <v>25</v>
      </c>
      <c r="Q154" s="3" t="s">
        <v>4769</v>
      </c>
    </row>
    <row r="155" spans="1:17">
      <c r="A155" s="3">
        <v>492612</v>
      </c>
      <c r="B155" s="3" t="s">
        <v>776</v>
      </c>
      <c r="C155" s="3" t="str">
        <f>"9781615353415"</f>
        <v>9781615353415</v>
      </c>
      <c r="D155" s="3" t="str">
        <f>"9781615353408"</f>
        <v>9781615353408</v>
      </c>
      <c r="E155" s="3" t="s">
        <v>359</v>
      </c>
      <c r="F155" s="3" t="s">
        <v>360</v>
      </c>
      <c r="G155" s="4">
        <v>40179</v>
      </c>
      <c r="H155" s="3" t="s">
        <v>20</v>
      </c>
      <c r="I155" s="3">
        <v>1</v>
      </c>
      <c r="J155" s="3" t="s">
        <v>777</v>
      </c>
      <c r="K155" s="3" t="s">
        <v>778</v>
      </c>
      <c r="L155" s="3" t="s">
        <v>779</v>
      </c>
      <c r="M155" s="3" t="s">
        <v>780</v>
      </c>
      <c r="N155" s="3">
        <v>577</v>
      </c>
      <c r="O155" s="3" t="s">
        <v>781</v>
      </c>
      <c r="P155" s="3" t="s">
        <v>25</v>
      </c>
      <c r="Q155" s="3" t="s">
        <v>4770</v>
      </c>
    </row>
    <row r="156" spans="1:17">
      <c r="A156" s="3">
        <v>492613</v>
      </c>
      <c r="B156" s="3" t="s">
        <v>782</v>
      </c>
      <c r="C156" s="3" t="str">
        <f>"9781615353439"</f>
        <v>9781615353439</v>
      </c>
      <c r="D156" s="3" t="str">
        <f>"9781615353422"</f>
        <v>9781615353422</v>
      </c>
      <c r="E156" s="3" t="s">
        <v>359</v>
      </c>
      <c r="F156" s="3" t="s">
        <v>360</v>
      </c>
      <c r="G156" s="4">
        <v>40179</v>
      </c>
      <c r="H156" s="3" t="s">
        <v>20</v>
      </c>
      <c r="I156" s="3">
        <v>1</v>
      </c>
      <c r="J156" s="3" t="s">
        <v>777</v>
      </c>
      <c r="K156" s="3" t="s">
        <v>778</v>
      </c>
      <c r="L156" s="3" t="s">
        <v>450</v>
      </c>
      <c r="M156" s="3" t="s">
        <v>783</v>
      </c>
      <c r="N156" s="3">
        <v>333</v>
      </c>
      <c r="O156" s="3" t="s">
        <v>784</v>
      </c>
      <c r="P156" s="3" t="s">
        <v>25</v>
      </c>
      <c r="Q156" s="3" t="s">
        <v>4771</v>
      </c>
    </row>
    <row r="157" spans="1:17">
      <c r="A157" s="3">
        <v>495971</v>
      </c>
      <c r="B157" s="3" t="s">
        <v>785</v>
      </c>
      <c r="C157" s="3" t="str">
        <f>"9780470566633"</f>
        <v>9780470566633</v>
      </c>
      <c r="D157" s="3" t="str">
        <f>"9780470599723"</f>
        <v>9780470599723</v>
      </c>
      <c r="E157" s="3" t="s">
        <v>32</v>
      </c>
      <c r="F157" s="3" t="s">
        <v>32</v>
      </c>
      <c r="G157" s="4">
        <v>40245</v>
      </c>
      <c r="H157" s="3" t="s">
        <v>20</v>
      </c>
      <c r="I157" s="3">
        <v>1</v>
      </c>
      <c r="J157" s="3" t="s">
        <v>786</v>
      </c>
      <c r="K157" s="3" t="s">
        <v>787</v>
      </c>
      <c r="L157" s="3" t="s">
        <v>532</v>
      </c>
      <c r="M157" s="3" t="s">
        <v>788</v>
      </c>
      <c r="N157" s="3" t="s">
        <v>789</v>
      </c>
      <c r="O157" s="3" t="s">
        <v>790</v>
      </c>
      <c r="P157" s="3" t="s">
        <v>25</v>
      </c>
      <c r="Q157" s="3" t="s">
        <v>4772</v>
      </c>
    </row>
    <row r="158" spans="1:17">
      <c r="A158" s="3">
        <v>496012</v>
      </c>
      <c r="B158" s="3" t="s">
        <v>791</v>
      </c>
      <c r="C158" s="3" t="str">
        <f>"9781118269237"</f>
        <v>9781118269237</v>
      </c>
      <c r="D158" s="3" t="str">
        <f>"9780470582565"</f>
        <v>9780470582565</v>
      </c>
      <c r="E158" s="3" t="s">
        <v>32</v>
      </c>
      <c r="F158" s="3" t="s">
        <v>491</v>
      </c>
      <c r="G158" s="4">
        <v>40266</v>
      </c>
      <c r="H158" s="3" t="s">
        <v>20</v>
      </c>
      <c r="I158" s="3">
        <v>1</v>
      </c>
      <c r="J158" s="3" t="s">
        <v>491</v>
      </c>
      <c r="K158" s="3" t="s">
        <v>792</v>
      </c>
      <c r="L158" s="3" t="s">
        <v>64</v>
      </c>
      <c r="M158" s="3" t="s">
        <v>793</v>
      </c>
      <c r="N158" s="3">
        <v>301</v>
      </c>
      <c r="O158" s="3" t="s">
        <v>794</v>
      </c>
      <c r="P158" s="3" t="s">
        <v>25</v>
      </c>
      <c r="Q158" s="3" t="s">
        <v>4773</v>
      </c>
    </row>
    <row r="159" spans="1:17">
      <c r="A159" s="3">
        <v>496057</v>
      </c>
      <c r="B159" s="3" t="s">
        <v>795</v>
      </c>
      <c r="C159" s="3" t="str">
        <f>"9781118571873"</f>
        <v>9781118571873</v>
      </c>
      <c r="D159" s="3" t="str">
        <f>"9781444323559"</f>
        <v>9781444323559</v>
      </c>
      <c r="E159" s="3" t="s">
        <v>32</v>
      </c>
      <c r="F159" s="3" t="s">
        <v>33</v>
      </c>
      <c r="G159" s="4">
        <v>40315</v>
      </c>
      <c r="H159" s="3" t="s">
        <v>20</v>
      </c>
      <c r="I159" s="3">
        <v>1</v>
      </c>
      <c r="J159" s="3"/>
      <c r="K159" s="3" t="s">
        <v>796</v>
      </c>
      <c r="L159" s="3" t="s">
        <v>514</v>
      </c>
      <c r="M159" s="3" t="s">
        <v>797</v>
      </c>
      <c r="N159" s="3" t="s">
        <v>798</v>
      </c>
      <c r="O159" s="3" t="s">
        <v>799</v>
      </c>
      <c r="P159" s="3" t="s">
        <v>25</v>
      </c>
      <c r="Q159" s="3" t="s">
        <v>4774</v>
      </c>
    </row>
    <row r="160" spans="1:17">
      <c r="A160" s="3">
        <v>496064</v>
      </c>
      <c r="B160" s="3" t="s">
        <v>800</v>
      </c>
      <c r="C160" s="3" t="str">
        <f>"9781118346327"</f>
        <v>9781118346327</v>
      </c>
      <c r="D160" s="3" t="str">
        <f>"9781444323535"</f>
        <v>9781444323535</v>
      </c>
      <c r="E160" s="3" t="s">
        <v>32</v>
      </c>
      <c r="F160" s="3" t="s">
        <v>33</v>
      </c>
      <c r="G160" s="4">
        <v>40322</v>
      </c>
      <c r="H160" s="3" t="s">
        <v>20</v>
      </c>
      <c r="I160" s="3">
        <v>1</v>
      </c>
      <c r="J160" s="3" t="s">
        <v>186</v>
      </c>
      <c r="K160" s="3" t="s">
        <v>801</v>
      </c>
      <c r="L160" s="3" t="s">
        <v>182</v>
      </c>
      <c r="M160" s="3" t="s">
        <v>802</v>
      </c>
      <c r="N160" s="3" t="s">
        <v>803</v>
      </c>
      <c r="O160" s="3" t="s">
        <v>804</v>
      </c>
      <c r="P160" s="3" t="s">
        <v>25</v>
      </c>
      <c r="Q160" s="3" t="s">
        <v>4775</v>
      </c>
    </row>
    <row r="161" spans="1:17">
      <c r="A161" s="3">
        <v>496079</v>
      </c>
      <c r="B161" s="3" t="s">
        <v>805</v>
      </c>
      <c r="C161" s="3" t="str">
        <f>"9781405197489"</f>
        <v>9781405197489</v>
      </c>
      <c r="D161" s="3" t="str">
        <f>"9781444320794"</f>
        <v>9781444320794</v>
      </c>
      <c r="E161" s="3" t="s">
        <v>32</v>
      </c>
      <c r="F161" s="3" t="s">
        <v>33</v>
      </c>
      <c r="G161" s="4">
        <v>40308</v>
      </c>
      <c r="H161" s="3" t="s">
        <v>20</v>
      </c>
      <c r="I161" s="3">
        <v>1</v>
      </c>
      <c r="J161" s="3" t="s">
        <v>410</v>
      </c>
      <c r="K161" s="3" t="s">
        <v>806</v>
      </c>
      <c r="L161" s="3" t="s">
        <v>807</v>
      </c>
      <c r="M161" s="3" t="s">
        <v>808</v>
      </c>
      <c r="N161" s="3">
        <v>306.60000000000002</v>
      </c>
      <c r="O161" s="3" t="s">
        <v>809</v>
      </c>
      <c r="P161" s="3" t="s">
        <v>25</v>
      </c>
      <c r="Q161" s="3" t="s">
        <v>4776</v>
      </c>
    </row>
    <row r="162" spans="1:17">
      <c r="A162" s="3">
        <v>501313</v>
      </c>
      <c r="B162" s="3" t="s">
        <v>810</v>
      </c>
      <c r="C162" s="3" t="str">
        <f>"9780521865647"</f>
        <v>9780521865647</v>
      </c>
      <c r="D162" s="3" t="str">
        <f>"9780511681967"</f>
        <v>9780511681967</v>
      </c>
      <c r="E162" s="3" t="s">
        <v>41</v>
      </c>
      <c r="F162" s="3" t="s">
        <v>41</v>
      </c>
      <c r="G162" s="4">
        <v>40283</v>
      </c>
      <c r="H162" s="3" t="s">
        <v>20</v>
      </c>
      <c r="I162" s="3"/>
      <c r="J162" s="3"/>
      <c r="K162" s="3" t="s">
        <v>811</v>
      </c>
      <c r="L162" s="3" t="s">
        <v>204</v>
      </c>
      <c r="M162" s="3" t="s">
        <v>812</v>
      </c>
      <c r="N162" s="3">
        <v>618.3261</v>
      </c>
      <c r="O162" s="3" t="s">
        <v>813</v>
      </c>
      <c r="P162" s="3" t="s">
        <v>25</v>
      </c>
      <c r="Q162" s="3" t="s">
        <v>4777</v>
      </c>
    </row>
    <row r="163" spans="1:17">
      <c r="A163" s="3">
        <v>502458</v>
      </c>
      <c r="B163" s="3" t="s">
        <v>814</v>
      </c>
      <c r="C163" s="3" t="str">
        <f>"9780521514880"</f>
        <v>9780521514880</v>
      </c>
      <c r="D163" s="3" t="str">
        <f>"9780511714887"</f>
        <v>9780511714887</v>
      </c>
      <c r="E163" s="3" t="s">
        <v>41</v>
      </c>
      <c r="F163" s="3" t="s">
        <v>41</v>
      </c>
      <c r="G163" s="4">
        <v>40297</v>
      </c>
      <c r="H163" s="3" t="s">
        <v>20</v>
      </c>
      <c r="I163" s="3"/>
      <c r="J163" s="3"/>
      <c r="K163" s="3" t="s">
        <v>815</v>
      </c>
      <c r="L163" s="3" t="s">
        <v>816</v>
      </c>
      <c r="M163" s="3" t="s">
        <v>817</v>
      </c>
      <c r="N163" s="3">
        <v>362.10680000000002</v>
      </c>
      <c r="O163" s="3" t="s">
        <v>818</v>
      </c>
      <c r="P163" s="3" t="s">
        <v>25</v>
      </c>
      <c r="Q163" s="3" t="s">
        <v>4778</v>
      </c>
    </row>
    <row r="164" spans="1:17">
      <c r="A164" s="3">
        <v>502493</v>
      </c>
      <c r="B164" s="3" t="s">
        <v>819</v>
      </c>
      <c r="C164" s="3" t="str">
        <f>"9780521116411"</f>
        <v>9780521116411</v>
      </c>
      <c r="D164" s="3" t="str">
        <f>"9780511692628"</f>
        <v>9780511692628</v>
      </c>
      <c r="E164" s="3" t="s">
        <v>41</v>
      </c>
      <c r="F164" s="3" t="s">
        <v>41</v>
      </c>
      <c r="G164" s="4">
        <v>40147</v>
      </c>
      <c r="H164" s="3" t="s">
        <v>20</v>
      </c>
      <c r="I164" s="3"/>
      <c r="J164" s="3"/>
      <c r="K164" s="3" t="s">
        <v>820</v>
      </c>
      <c r="L164" s="3" t="s">
        <v>354</v>
      </c>
      <c r="M164" s="3" t="s">
        <v>821</v>
      </c>
      <c r="N164" s="3">
        <v>346.73</v>
      </c>
      <c r="O164" s="3" t="s">
        <v>822</v>
      </c>
      <c r="P164" s="3" t="s">
        <v>25</v>
      </c>
      <c r="Q164" s="3" t="s">
        <v>4779</v>
      </c>
    </row>
    <row r="165" spans="1:17">
      <c r="A165" s="3">
        <v>502533</v>
      </c>
      <c r="B165" s="3" t="s">
        <v>823</v>
      </c>
      <c r="C165" s="3" t="str">
        <f>"9780521199629"</f>
        <v>9780521199629</v>
      </c>
      <c r="D165" s="3" t="str">
        <f>"9780511681134"</f>
        <v>9780511681134</v>
      </c>
      <c r="E165" s="3" t="s">
        <v>41</v>
      </c>
      <c r="F165" s="3" t="s">
        <v>41</v>
      </c>
      <c r="G165" s="4">
        <v>40199</v>
      </c>
      <c r="H165" s="3" t="s">
        <v>20</v>
      </c>
      <c r="I165" s="3"/>
      <c r="J165" s="3"/>
      <c r="K165" s="3" t="s">
        <v>824</v>
      </c>
      <c r="L165" s="3" t="s">
        <v>182</v>
      </c>
      <c r="M165" s="3" t="s">
        <v>825</v>
      </c>
      <c r="N165" s="3">
        <v>170.92</v>
      </c>
      <c r="O165" s="3" t="s">
        <v>826</v>
      </c>
      <c r="P165" s="3" t="s">
        <v>25</v>
      </c>
      <c r="Q165" s="3" t="s">
        <v>4780</v>
      </c>
    </row>
    <row r="166" spans="1:17">
      <c r="A166" s="3">
        <v>510243</v>
      </c>
      <c r="B166" s="3" t="s">
        <v>827</v>
      </c>
      <c r="C166" s="3" t="str">
        <f>"9780786443109"</f>
        <v>9780786443109</v>
      </c>
      <c r="D166" s="3" t="str">
        <f>"9780786455591"</f>
        <v>9780786455591</v>
      </c>
      <c r="E166" s="3" t="s">
        <v>828</v>
      </c>
      <c r="F166" s="3" t="s">
        <v>828</v>
      </c>
      <c r="G166" s="4">
        <v>40240</v>
      </c>
      <c r="H166" s="3" t="s">
        <v>20</v>
      </c>
      <c r="I166" s="3">
        <v>1</v>
      </c>
      <c r="J166" s="3" t="s">
        <v>829</v>
      </c>
      <c r="K166" s="3" t="s">
        <v>830</v>
      </c>
      <c r="L166" s="3" t="s">
        <v>22</v>
      </c>
      <c r="M166" s="3" t="s">
        <v>831</v>
      </c>
      <c r="N166" s="3" t="s">
        <v>832</v>
      </c>
      <c r="O166" s="3" t="s">
        <v>833</v>
      </c>
      <c r="P166" s="3" t="s">
        <v>25</v>
      </c>
      <c r="Q166" s="3" t="s">
        <v>4781</v>
      </c>
    </row>
    <row r="167" spans="1:17">
      <c r="A167" s="3">
        <v>510248</v>
      </c>
      <c r="B167" s="3" t="s">
        <v>834</v>
      </c>
      <c r="C167" s="3" t="str">
        <f>"9780786444052"</f>
        <v>9780786444052</v>
      </c>
      <c r="D167" s="3" t="str">
        <f>"9780786457403"</f>
        <v>9780786457403</v>
      </c>
      <c r="E167" s="3" t="s">
        <v>828</v>
      </c>
      <c r="F167" s="3" t="s">
        <v>828</v>
      </c>
      <c r="G167" s="4">
        <v>40270</v>
      </c>
      <c r="H167" s="3" t="s">
        <v>20</v>
      </c>
      <c r="I167" s="3">
        <v>1</v>
      </c>
      <c r="J167" s="3"/>
      <c r="K167" s="3" t="s">
        <v>835</v>
      </c>
      <c r="L167" s="3" t="s">
        <v>836</v>
      </c>
      <c r="M167" s="3" t="s">
        <v>837</v>
      </c>
      <c r="N167" s="3">
        <v>791.03</v>
      </c>
      <c r="O167" s="3" t="s">
        <v>838</v>
      </c>
      <c r="P167" s="3" t="s">
        <v>25</v>
      </c>
      <c r="Q167" s="3" t="s">
        <v>4782</v>
      </c>
    </row>
    <row r="168" spans="1:17">
      <c r="A168" s="3">
        <v>510251</v>
      </c>
      <c r="B168" s="3" t="s">
        <v>839</v>
      </c>
      <c r="C168" s="3" t="str">
        <f>"9780786448517"</f>
        <v>9780786448517</v>
      </c>
      <c r="D168" s="3" t="str">
        <f>"9780786456758"</f>
        <v>9780786456758</v>
      </c>
      <c r="E168" s="3" t="s">
        <v>828</v>
      </c>
      <c r="F168" s="3" t="s">
        <v>828</v>
      </c>
      <c r="G168" s="4">
        <v>40513</v>
      </c>
      <c r="H168" s="3" t="s">
        <v>20</v>
      </c>
      <c r="I168" s="3">
        <v>1</v>
      </c>
      <c r="J168" s="3"/>
      <c r="K168" s="3" t="s">
        <v>840</v>
      </c>
      <c r="L168" s="3" t="s">
        <v>118</v>
      </c>
      <c r="M168" s="3" t="s">
        <v>841</v>
      </c>
      <c r="N168" s="3">
        <v>202.37029999999999</v>
      </c>
      <c r="O168" s="3" t="s">
        <v>842</v>
      </c>
      <c r="P168" s="3" t="s">
        <v>25</v>
      </c>
      <c r="Q168" s="3" t="s">
        <v>4783</v>
      </c>
    </row>
    <row r="169" spans="1:17">
      <c r="A169" s="3">
        <v>514326</v>
      </c>
      <c r="B169" s="3" t="s">
        <v>843</v>
      </c>
      <c r="C169" s="3" t="str">
        <f>"9780470551684"</f>
        <v>9780470551684</v>
      </c>
      <c r="D169" s="3" t="str">
        <f>"9780470618776"</f>
        <v>9780470618776</v>
      </c>
      <c r="E169" s="3" t="s">
        <v>32</v>
      </c>
      <c r="F169" s="3" t="s">
        <v>32</v>
      </c>
      <c r="G169" s="4">
        <v>40294</v>
      </c>
      <c r="H169" s="3" t="s">
        <v>20</v>
      </c>
      <c r="I169" s="3">
        <v>2</v>
      </c>
      <c r="J169" s="3" t="s">
        <v>786</v>
      </c>
      <c r="K169" s="3" t="s">
        <v>844</v>
      </c>
      <c r="L169" s="3" t="s">
        <v>845</v>
      </c>
      <c r="M169" s="3" t="s">
        <v>846</v>
      </c>
      <c r="N169" s="3" t="s">
        <v>847</v>
      </c>
      <c r="O169" s="3" t="s">
        <v>848</v>
      </c>
      <c r="P169" s="3" t="s">
        <v>25</v>
      </c>
      <c r="Q169" s="3" t="s">
        <v>4784</v>
      </c>
    </row>
    <row r="170" spans="1:17">
      <c r="A170" s="3">
        <v>514382</v>
      </c>
      <c r="B170" s="3" t="s">
        <v>849</v>
      </c>
      <c r="C170" s="3" t="str">
        <f>"9780470551745"</f>
        <v>9780470551745</v>
      </c>
      <c r="D170" s="3" t="str">
        <f>"9780470634462"</f>
        <v>9780470634462</v>
      </c>
      <c r="E170" s="3" t="s">
        <v>32</v>
      </c>
      <c r="F170" s="3" t="s">
        <v>491</v>
      </c>
      <c r="G170" s="4">
        <v>40301</v>
      </c>
      <c r="H170" s="3" t="s">
        <v>20</v>
      </c>
      <c r="I170" s="3">
        <v>2</v>
      </c>
      <c r="J170" s="3" t="s">
        <v>850</v>
      </c>
      <c r="K170" s="3" t="s">
        <v>851</v>
      </c>
      <c r="L170" s="3" t="s">
        <v>852</v>
      </c>
      <c r="M170" s="3" t="s">
        <v>853</v>
      </c>
      <c r="N170" s="3">
        <v>576.5</v>
      </c>
      <c r="O170" s="3" t="s">
        <v>854</v>
      </c>
      <c r="P170" s="3" t="s">
        <v>25</v>
      </c>
      <c r="Q170" s="3" t="s">
        <v>4785</v>
      </c>
    </row>
    <row r="171" spans="1:17">
      <c r="A171" s="3">
        <v>514449</v>
      </c>
      <c r="B171" s="3" t="s">
        <v>855</v>
      </c>
      <c r="C171" s="3" t="str">
        <f>"9781405169363"</f>
        <v>9781405169363</v>
      </c>
      <c r="D171" s="3" t="str">
        <f>"9781444324099"</f>
        <v>9781444324099</v>
      </c>
      <c r="E171" s="3" t="s">
        <v>32</v>
      </c>
      <c r="F171" s="3" t="s">
        <v>32</v>
      </c>
      <c r="G171" s="4">
        <v>40308</v>
      </c>
      <c r="H171" s="3" t="s">
        <v>20</v>
      </c>
      <c r="I171" s="3">
        <v>1</v>
      </c>
      <c r="J171" s="3" t="s">
        <v>718</v>
      </c>
      <c r="K171" s="3" t="s">
        <v>856</v>
      </c>
      <c r="L171" s="3" t="s">
        <v>118</v>
      </c>
      <c r="M171" s="3" t="s">
        <v>857</v>
      </c>
      <c r="N171" s="3">
        <v>200.97300000000001</v>
      </c>
      <c r="O171" s="3" t="s">
        <v>858</v>
      </c>
      <c r="P171" s="3" t="s">
        <v>25</v>
      </c>
      <c r="Q171" s="3" t="s">
        <v>4786</v>
      </c>
    </row>
    <row r="172" spans="1:17">
      <c r="A172" s="3">
        <v>514458</v>
      </c>
      <c r="B172" s="3" t="s">
        <v>859</v>
      </c>
      <c r="C172" s="3" t="str">
        <f>"9781405189002"</f>
        <v>9781405189002</v>
      </c>
      <c r="D172" s="3" t="str">
        <f>"9781444320046"</f>
        <v>9781444320046</v>
      </c>
      <c r="E172" s="3" t="s">
        <v>32</v>
      </c>
      <c r="F172" s="3" t="s">
        <v>33</v>
      </c>
      <c r="G172" s="4">
        <v>40294</v>
      </c>
      <c r="H172" s="3" t="s">
        <v>20</v>
      </c>
      <c r="I172" s="3">
        <v>1</v>
      </c>
      <c r="J172" s="3" t="s">
        <v>860</v>
      </c>
      <c r="K172" s="3" t="s">
        <v>861</v>
      </c>
      <c r="L172" s="3" t="s">
        <v>862</v>
      </c>
      <c r="M172" s="3" t="s">
        <v>863</v>
      </c>
      <c r="N172" s="3">
        <v>573</v>
      </c>
      <c r="O172" s="3" t="s">
        <v>864</v>
      </c>
      <c r="P172" s="3" t="s">
        <v>25</v>
      </c>
      <c r="Q172" s="3" t="s">
        <v>4787</v>
      </c>
    </row>
    <row r="173" spans="1:17">
      <c r="A173" s="3">
        <v>515872</v>
      </c>
      <c r="B173" s="3" t="s">
        <v>865</v>
      </c>
      <c r="C173" s="3" t="str">
        <f>"9780521878098"</f>
        <v>9780521878098</v>
      </c>
      <c r="D173" s="3" t="str">
        <f>"9780511726385"</f>
        <v>9780511726385</v>
      </c>
      <c r="E173" s="3" t="s">
        <v>41</v>
      </c>
      <c r="F173" s="3" t="s">
        <v>41</v>
      </c>
      <c r="G173" s="4">
        <v>40297</v>
      </c>
      <c r="H173" s="3" t="s">
        <v>20</v>
      </c>
      <c r="I173" s="3"/>
      <c r="J173" s="3" t="s">
        <v>62</v>
      </c>
      <c r="K173" s="3" t="s">
        <v>866</v>
      </c>
      <c r="L173" s="3" t="s">
        <v>867</v>
      </c>
      <c r="M173" s="3" t="s">
        <v>868</v>
      </c>
      <c r="N173" s="3" t="s">
        <v>847</v>
      </c>
      <c r="O173" s="3" t="s">
        <v>869</v>
      </c>
      <c r="P173" s="3" t="s">
        <v>25</v>
      </c>
      <c r="Q173" s="3" t="s">
        <v>4788</v>
      </c>
    </row>
    <row r="174" spans="1:17">
      <c r="A174" s="3">
        <v>516946</v>
      </c>
      <c r="B174" s="3" t="s">
        <v>870</v>
      </c>
      <c r="C174" s="3" t="str">
        <f>"9780470637517"</f>
        <v>9780470637517</v>
      </c>
      <c r="D174" s="3" t="str">
        <f>"9780470649077"</f>
        <v>9780470649077</v>
      </c>
      <c r="E174" s="3" t="s">
        <v>32</v>
      </c>
      <c r="F174" s="3" t="s">
        <v>491</v>
      </c>
      <c r="G174" s="4">
        <v>40315</v>
      </c>
      <c r="H174" s="3" t="s">
        <v>20</v>
      </c>
      <c r="I174" s="3">
        <v>1</v>
      </c>
      <c r="J174" s="3" t="s">
        <v>491</v>
      </c>
      <c r="K174" s="3" t="s">
        <v>871</v>
      </c>
      <c r="L174" s="3" t="s">
        <v>504</v>
      </c>
      <c r="M174" s="3" t="s">
        <v>872</v>
      </c>
      <c r="N174" s="3">
        <v>468.24209999999999</v>
      </c>
      <c r="O174" s="3" t="s">
        <v>873</v>
      </c>
      <c r="P174" s="3" t="s">
        <v>25</v>
      </c>
      <c r="Q174" s="3" t="s">
        <v>4789</v>
      </c>
    </row>
    <row r="175" spans="1:17">
      <c r="A175" s="3">
        <v>516965</v>
      </c>
      <c r="B175" s="3" t="s">
        <v>874</v>
      </c>
      <c r="C175" s="3" t="str">
        <f>"9781118438817"</f>
        <v>9781118438817</v>
      </c>
      <c r="D175" s="3" t="str">
        <f>"9781444323467"</f>
        <v>9781444323467</v>
      </c>
      <c r="E175" s="3" t="s">
        <v>32</v>
      </c>
      <c r="F175" s="3" t="s">
        <v>33</v>
      </c>
      <c r="G175" s="4">
        <v>40308</v>
      </c>
      <c r="H175" s="3" t="s">
        <v>20</v>
      </c>
      <c r="I175" s="3">
        <v>2</v>
      </c>
      <c r="J175" s="3"/>
      <c r="K175" s="3" t="s">
        <v>875</v>
      </c>
      <c r="L175" s="3" t="s">
        <v>64</v>
      </c>
      <c r="M175" s="3" t="s">
        <v>876</v>
      </c>
      <c r="N175" s="3">
        <v>306.02999999999997</v>
      </c>
      <c r="O175" s="3" t="s">
        <v>877</v>
      </c>
      <c r="P175" s="3" t="s">
        <v>25</v>
      </c>
      <c r="Q175" s="3" t="s">
        <v>4790</v>
      </c>
    </row>
    <row r="176" spans="1:17">
      <c r="A176" s="3">
        <v>529946</v>
      </c>
      <c r="B176" s="3" t="s">
        <v>878</v>
      </c>
      <c r="C176" s="3" t="str">
        <f>"9780470381762"</f>
        <v>9780470381762</v>
      </c>
      <c r="D176" s="3" t="str">
        <f>"9780470610657"</f>
        <v>9780470610657</v>
      </c>
      <c r="E176" s="3" t="s">
        <v>32</v>
      </c>
      <c r="F176" s="3" t="s">
        <v>530</v>
      </c>
      <c r="G176" s="4">
        <v>40322</v>
      </c>
      <c r="H176" s="3" t="s">
        <v>20</v>
      </c>
      <c r="I176" s="3">
        <v>1</v>
      </c>
      <c r="J176" s="3"/>
      <c r="K176" s="3" t="s">
        <v>879</v>
      </c>
      <c r="L176" s="3" t="s">
        <v>532</v>
      </c>
      <c r="M176" s="3" t="s">
        <v>880</v>
      </c>
      <c r="N176" s="3" t="s">
        <v>881</v>
      </c>
      <c r="O176" s="3" t="s">
        <v>882</v>
      </c>
      <c r="P176" s="3" t="s">
        <v>25</v>
      </c>
      <c r="Q176" s="3" t="s">
        <v>4791</v>
      </c>
    </row>
    <row r="177" spans="1:17">
      <c r="A177" s="3">
        <v>529959</v>
      </c>
      <c r="B177" s="3" t="s">
        <v>883</v>
      </c>
      <c r="C177" s="3" t="str">
        <f>"9780787996802"</f>
        <v>9780787996802</v>
      </c>
      <c r="D177" s="3" t="str">
        <f>"9780470876022"</f>
        <v>9780470876022</v>
      </c>
      <c r="E177" s="3" t="s">
        <v>32</v>
      </c>
      <c r="F177" s="3" t="s">
        <v>530</v>
      </c>
      <c r="G177" s="4">
        <v>40021</v>
      </c>
      <c r="H177" s="3" t="s">
        <v>20</v>
      </c>
      <c r="I177" s="3">
        <v>2</v>
      </c>
      <c r="J177" s="3"/>
      <c r="K177" s="3" t="s">
        <v>884</v>
      </c>
      <c r="L177" s="3" t="s">
        <v>532</v>
      </c>
      <c r="M177" s="3" t="s">
        <v>885</v>
      </c>
      <c r="N177" s="3">
        <v>371.2</v>
      </c>
      <c r="O177" s="3" t="s">
        <v>886</v>
      </c>
      <c r="P177" s="3" t="s">
        <v>25</v>
      </c>
      <c r="Q177" s="3" t="s">
        <v>4792</v>
      </c>
    </row>
    <row r="178" spans="1:17">
      <c r="A178" s="3">
        <v>530074</v>
      </c>
      <c r="B178" s="3" t="s">
        <v>887</v>
      </c>
      <c r="C178" s="3" t="str">
        <f>"9780786448258"</f>
        <v>9780786448258</v>
      </c>
      <c r="D178" s="3" t="str">
        <f>"9780786456338"</f>
        <v>9780786456338</v>
      </c>
      <c r="E178" s="3" t="s">
        <v>828</v>
      </c>
      <c r="F178" s="3" t="s">
        <v>828</v>
      </c>
      <c r="G178" s="4">
        <v>40513</v>
      </c>
      <c r="H178" s="3" t="s">
        <v>20</v>
      </c>
      <c r="I178" s="3">
        <v>1</v>
      </c>
      <c r="J178" s="3"/>
      <c r="K178" s="3" t="s">
        <v>888</v>
      </c>
      <c r="L178" s="3" t="s">
        <v>64</v>
      </c>
      <c r="M178" s="3" t="s">
        <v>889</v>
      </c>
      <c r="N178" s="3">
        <v>364.660978</v>
      </c>
      <c r="O178" s="3" t="s">
        <v>890</v>
      </c>
      <c r="P178" s="3" t="s">
        <v>25</v>
      </c>
      <c r="Q178" s="3" t="s">
        <v>4793</v>
      </c>
    </row>
    <row r="179" spans="1:17">
      <c r="A179" s="3">
        <v>533954</v>
      </c>
      <c r="B179" s="3" t="s">
        <v>891</v>
      </c>
      <c r="C179" s="3" t="str">
        <f>"9780470601747"</f>
        <v>9780470601747</v>
      </c>
      <c r="D179" s="3" t="str">
        <f>"9780470649107"</f>
        <v>9780470649107</v>
      </c>
      <c r="E179" s="3" t="s">
        <v>32</v>
      </c>
      <c r="F179" s="3" t="s">
        <v>491</v>
      </c>
      <c r="G179" s="4">
        <v>40330</v>
      </c>
      <c r="H179" s="3" t="s">
        <v>20</v>
      </c>
      <c r="I179" s="3">
        <v>1</v>
      </c>
      <c r="J179" s="3"/>
      <c r="K179" s="3" t="s">
        <v>892</v>
      </c>
      <c r="L179" s="3" t="s">
        <v>36</v>
      </c>
      <c r="M179" s="3" t="s">
        <v>893</v>
      </c>
      <c r="N179" s="3">
        <v>650.1</v>
      </c>
      <c r="O179" s="3" t="s">
        <v>894</v>
      </c>
      <c r="P179" s="3" t="s">
        <v>25</v>
      </c>
      <c r="Q179" s="3" t="s">
        <v>4794</v>
      </c>
    </row>
    <row r="180" spans="1:17">
      <c r="A180" s="3">
        <v>534716</v>
      </c>
      <c r="B180" s="3" t="s">
        <v>895</v>
      </c>
      <c r="C180" s="3" t="str">
        <f>"9780521720571"</f>
        <v>9780521720571</v>
      </c>
      <c r="D180" s="3" t="str">
        <f>"9780511743184"</f>
        <v>9780511743184</v>
      </c>
      <c r="E180" s="3" t="s">
        <v>41</v>
      </c>
      <c r="F180" s="3" t="s">
        <v>41</v>
      </c>
      <c r="G180" s="4">
        <v>40255</v>
      </c>
      <c r="H180" s="3" t="s">
        <v>20</v>
      </c>
      <c r="I180" s="3"/>
      <c r="J180" s="3" t="s">
        <v>478</v>
      </c>
      <c r="K180" s="3" t="s">
        <v>896</v>
      </c>
      <c r="L180" s="3" t="s">
        <v>204</v>
      </c>
      <c r="M180" s="3" t="s">
        <v>897</v>
      </c>
      <c r="N180" s="3">
        <v>616.84910000000002</v>
      </c>
      <c r="O180" s="3" t="s">
        <v>898</v>
      </c>
      <c r="P180" s="3" t="s">
        <v>25</v>
      </c>
      <c r="Q180" s="3" t="s">
        <v>4795</v>
      </c>
    </row>
    <row r="181" spans="1:17">
      <c r="A181" s="3">
        <v>534750</v>
      </c>
      <c r="B181" s="3" t="s">
        <v>899</v>
      </c>
      <c r="C181" s="3" t="str">
        <f>"9780521886130"</f>
        <v>9780521886130</v>
      </c>
      <c r="D181" s="3" t="str">
        <f>"9780511743641"</f>
        <v>9780511743641</v>
      </c>
      <c r="E181" s="3" t="s">
        <v>41</v>
      </c>
      <c r="F181" s="3" t="s">
        <v>41</v>
      </c>
      <c r="G181" s="4">
        <v>40311</v>
      </c>
      <c r="H181" s="3" t="s">
        <v>20</v>
      </c>
      <c r="I181" s="3"/>
      <c r="J181" s="3" t="s">
        <v>900</v>
      </c>
      <c r="K181" s="3" t="s">
        <v>901</v>
      </c>
      <c r="L181" s="3" t="s">
        <v>182</v>
      </c>
      <c r="M181" s="3" t="s">
        <v>902</v>
      </c>
      <c r="N181" s="3">
        <v>192</v>
      </c>
      <c r="O181" s="3" t="s">
        <v>903</v>
      </c>
      <c r="P181" s="3" t="s">
        <v>25</v>
      </c>
      <c r="Q181" s="3" t="s">
        <v>4796</v>
      </c>
    </row>
    <row r="182" spans="1:17">
      <c r="A182" s="3">
        <v>534756</v>
      </c>
      <c r="B182" s="3" t="s">
        <v>904</v>
      </c>
      <c r="C182" s="3" t="str">
        <f>"9780521772464"</f>
        <v>9780521772464</v>
      </c>
      <c r="D182" s="3" t="str">
        <f>"9780511743221"</f>
        <v>9780511743221</v>
      </c>
      <c r="E182" s="3" t="s">
        <v>41</v>
      </c>
      <c r="F182" s="3" t="s">
        <v>41</v>
      </c>
      <c r="G182" s="4">
        <v>40241</v>
      </c>
      <c r="H182" s="3" t="s">
        <v>20</v>
      </c>
      <c r="I182" s="3"/>
      <c r="J182" s="3" t="s">
        <v>905</v>
      </c>
      <c r="K182" s="3" t="s">
        <v>906</v>
      </c>
      <c r="L182" s="3" t="s">
        <v>182</v>
      </c>
      <c r="M182" s="3" t="s">
        <v>907</v>
      </c>
      <c r="N182" s="3">
        <v>170</v>
      </c>
      <c r="O182" s="3" t="s">
        <v>908</v>
      </c>
      <c r="P182" s="3" t="s">
        <v>25</v>
      </c>
      <c r="Q182" s="3" t="s">
        <v>4797</v>
      </c>
    </row>
    <row r="183" spans="1:17">
      <c r="A183" s="3">
        <v>535445</v>
      </c>
      <c r="B183" s="3" t="s">
        <v>909</v>
      </c>
      <c r="C183" s="3" t="str">
        <f>"9780195369250"</f>
        <v>9780195369250</v>
      </c>
      <c r="D183" s="3" t="str">
        <f>"9780199708994"</f>
        <v>9780199708994</v>
      </c>
      <c r="E183" s="3" t="s">
        <v>910</v>
      </c>
      <c r="F183" s="3" t="s">
        <v>910</v>
      </c>
      <c r="G183" s="4">
        <v>40149</v>
      </c>
      <c r="H183" s="3" t="s">
        <v>20</v>
      </c>
      <c r="I183" s="3">
        <v>2</v>
      </c>
      <c r="J183" s="3"/>
      <c r="K183" s="3" t="s">
        <v>911</v>
      </c>
      <c r="L183" s="3" t="s">
        <v>317</v>
      </c>
      <c r="M183" s="3" t="s">
        <v>912</v>
      </c>
      <c r="N183" s="3" t="s">
        <v>913</v>
      </c>
      <c r="O183" s="3" t="s">
        <v>914</v>
      </c>
      <c r="P183" s="3" t="s">
        <v>25</v>
      </c>
      <c r="Q183" s="3" t="s">
        <v>4798</v>
      </c>
    </row>
    <row r="184" spans="1:17">
      <c r="A184" s="3">
        <v>537279</v>
      </c>
      <c r="B184" s="3" t="s">
        <v>915</v>
      </c>
      <c r="C184" s="3" t="str">
        <f>"9781849280419"</f>
        <v>9781849280419</v>
      </c>
      <c r="D184" s="3" t="str">
        <f>"9781849280426"</f>
        <v>9781849280426</v>
      </c>
      <c r="E184" s="3" t="s">
        <v>916</v>
      </c>
      <c r="F184" s="3" t="s">
        <v>698</v>
      </c>
      <c r="G184" s="4">
        <v>40267</v>
      </c>
      <c r="H184" s="3" t="s">
        <v>20</v>
      </c>
      <c r="I184" s="3">
        <v>2</v>
      </c>
      <c r="J184" s="3"/>
      <c r="K184" s="3" t="s">
        <v>917</v>
      </c>
      <c r="L184" s="3" t="s">
        <v>918</v>
      </c>
      <c r="M184" s="3" t="s">
        <v>919</v>
      </c>
      <c r="N184" s="3">
        <v>5.8</v>
      </c>
      <c r="O184" s="3" t="s">
        <v>920</v>
      </c>
      <c r="P184" s="3" t="s">
        <v>25</v>
      </c>
      <c r="Q184" s="3" t="s">
        <v>4799</v>
      </c>
    </row>
    <row r="185" spans="1:17">
      <c r="A185" s="3">
        <v>537566</v>
      </c>
      <c r="B185" s="3" t="s">
        <v>921</v>
      </c>
      <c r="C185" s="3" t="str">
        <f>"9780786442263"</f>
        <v>9780786442263</v>
      </c>
      <c r="D185" s="3" t="str">
        <f>"9780786457571"</f>
        <v>9780786457571</v>
      </c>
      <c r="E185" s="3" t="s">
        <v>828</v>
      </c>
      <c r="F185" s="3" t="s">
        <v>828</v>
      </c>
      <c r="G185" s="4">
        <v>40513</v>
      </c>
      <c r="H185" s="3" t="s">
        <v>20</v>
      </c>
      <c r="I185" s="3">
        <v>1</v>
      </c>
      <c r="J185" s="3"/>
      <c r="K185" s="3" t="s">
        <v>922</v>
      </c>
      <c r="L185" s="3" t="s">
        <v>406</v>
      </c>
      <c r="M185" s="3" t="s">
        <v>923</v>
      </c>
      <c r="N185" s="3">
        <v>796.03</v>
      </c>
      <c r="O185" s="3" t="s">
        <v>924</v>
      </c>
      <c r="P185" s="3" t="s">
        <v>25</v>
      </c>
      <c r="Q185" s="3" t="s">
        <v>4800</v>
      </c>
    </row>
    <row r="186" spans="1:17">
      <c r="A186" s="3">
        <v>540083</v>
      </c>
      <c r="B186" s="3" t="s">
        <v>925</v>
      </c>
      <c r="C186" s="3" t="str">
        <f>"9781576603246"</f>
        <v>9781576603246</v>
      </c>
      <c r="D186" s="3" t="str">
        <f>"9780470883396"</f>
        <v>9780470883396</v>
      </c>
      <c r="E186" s="3" t="s">
        <v>32</v>
      </c>
      <c r="F186" s="3" t="s">
        <v>926</v>
      </c>
      <c r="G186" s="4">
        <v>39827</v>
      </c>
      <c r="H186" s="3" t="s">
        <v>20</v>
      </c>
      <c r="I186" s="3">
        <v>2</v>
      </c>
      <c r="J186" s="3" t="s">
        <v>927</v>
      </c>
      <c r="K186" s="3" t="s">
        <v>928</v>
      </c>
      <c r="L186" s="3" t="s">
        <v>354</v>
      </c>
      <c r="M186" s="3" t="s">
        <v>929</v>
      </c>
      <c r="N186" s="3" t="s">
        <v>930</v>
      </c>
      <c r="O186" s="3" t="s">
        <v>931</v>
      </c>
      <c r="P186" s="3" t="s">
        <v>25</v>
      </c>
      <c r="Q186" s="3" t="s">
        <v>4801</v>
      </c>
    </row>
    <row r="187" spans="1:17">
      <c r="A187" s="3">
        <v>542759</v>
      </c>
      <c r="B187" s="3" t="s">
        <v>932</v>
      </c>
      <c r="C187" s="3" t="str">
        <f>"9780521873437"</f>
        <v>9780521873437</v>
      </c>
      <c r="D187" s="3" t="str">
        <f>"9780511774065"</f>
        <v>9780511774065</v>
      </c>
      <c r="E187" s="3" t="s">
        <v>41</v>
      </c>
      <c r="F187" s="3" t="s">
        <v>41</v>
      </c>
      <c r="G187" s="4">
        <v>40381</v>
      </c>
      <c r="H187" s="3" t="s">
        <v>20</v>
      </c>
      <c r="I187" s="3"/>
      <c r="J187" s="3"/>
      <c r="K187" s="3" t="s">
        <v>933</v>
      </c>
      <c r="L187" s="3" t="s">
        <v>204</v>
      </c>
      <c r="M187" s="3" t="s">
        <v>934</v>
      </c>
      <c r="N187" s="3" t="s">
        <v>935</v>
      </c>
      <c r="O187" s="3" t="s">
        <v>936</v>
      </c>
      <c r="P187" s="3" t="s">
        <v>25</v>
      </c>
      <c r="Q187" s="3" t="s">
        <v>4802</v>
      </c>
    </row>
    <row r="188" spans="1:17">
      <c r="A188" s="3">
        <v>542826</v>
      </c>
      <c r="B188" s="3" t="s">
        <v>937</v>
      </c>
      <c r="C188" s="3" t="str">
        <f>"9780521518055"</f>
        <v>9780521518055</v>
      </c>
      <c r="D188" s="3" t="str">
        <f>"9780511767142"</f>
        <v>9780511767142</v>
      </c>
      <c r="E188" s="3" t="s">
        <v>41</v>
      </c>
      <c r="F188" s="3" t="s">
        <v>41</v>
      </c>
      <c r="G188" s="4">
        <v>40290</v>
      </c>
      <c r="H188" s="3" t="s">
        <v>20</v>
      </c>
      <c r="I188" s="3">
        <v>2</v>
      </c>
      <c r="J188" s="3"/>
      <c r="K188" s="3" t="s">
        <v>938</v>
      </c>
      <c r="L188" s="3" t="s">
        <v>939</v>
      </c>
      <c r="M188" s="3" t="s">
        <v>940</v>
      </c>
      <c r="N188" s="3">
        <v>571.32000000000005</v>
      </c>
      <c r="O188" s="3" t="s">
        <v>941</v>
      </c>
      <c r="P188" s="3" t="s">
        <v>25</v>
      </c>
      <c r="Q188" s="3" t="s">
        <v>4803</v>
      </c>
    </row>
    <row r="189" spans="1:17">
      <c r="A189" s="3">
        <v>542863</v>
      </c>
      <c r="B189" s="3" t="s">
        <v>942</v>
      </c>
      <c r="C189" s="3" t="str">
        <f>"9780521675369"</f>
        <v>9780521675369</v>
      </c>
      <c r="D189" s="3" t="str">
        <f>"9780511773921"</f>
        <v>9780511773921</v>
      </c>
      <c r="E189" s="3" t="s">
        <v>41</v>
      </c>
      <c r="F189" s="3" t="s">
        <v>41</v>
      </c>
      <c r="G189" s="4">
        <v>40360</v>
      </c>
      <c r="H189" s="3" t="s">
        <v>20</v>
      </c>
      <c r="I189" s="3"/>
      <c r="J189" s="3"/>
      <c r="K189" s="3" t="s">
        <v>943</v>
      </c>
      <c r="L189" s="3" t="s">
        <v>204</v>
      </c>
      <c r="M189" s="3" t="s">
        <v>944</v>
      </c>
      <c r="N189" s="3">
        <v>618.32000000000005</v>
      </c>
      <c r="O189" s="3" t="s">
        <v>945</v>
      </c>
      <c r="P189" s="3" t="s">
        <v>25</v>
      </c>
      <c r="Q189" s="3" t="s">
        <v>4804</v>
      </c>
    </row>
    <row r="190" spans="1:17">
      <c r="A190" s="3">
        <v>542870</v>
      </c>
      <c r="B190" s="3" t="s">
        <v>946</v>
      </c>
      <c r="C190" s="3" t="str">
        <f>"9780521690850"</f>
        <v>9780521690850</v>
      </c>
      <c r="D190" s="3" t="str">
        <f>"9780511766749"</f>
        <v>9780511766749</v>
      </c>
      <c r="E190" s="3" t="s">
        <v>41</v>
      </c>
      <c r="F190" s="3" t="s">
        <v>41</v>
      </c>
      <c r="G190" s="4">
        <v>40136</v>
      </c>
      <c r="H190" s="3" t="s">
        <v>20</v>
      </c>
      <c r="I190" s="3"/>
      <c r="J190" s="3"/>
      <c r="K190" s="3" t="s">
        <v>947</v>
      </c>
      <c r="L190" s="3" t="s">
        <v>948</v>
      </c>
      <c r="M190" s="3" t="s">
        <v>949</v>
      </c>
      <c r="N190" s="3" t="s">
        <v>950</v>
      </c>
      <c r="O190" s="3" t="s">
        <v>951</v>
      </c>
      <c r="P190" s="3" t="s">
        <v>25</v>
      </c>
      <c r="Q190" s="3" t="s">
        <v>4805</v>
      </c>
    </row>
    <row r="191" spans="1:17">
      <c r="A191" s="3">
        <v>543027</v>
      </c>
      <c r="B191" s="3" t="s">
        <v>952</v>
      </c>
      <c r="C191" s="3" t="str">
        <f>"9780786444526"</f>
        <v>9780786444526</v>
      </c>
      <c r="D191" s="3" t="str">
        <f>"9780786455812"</f>
        <v>9780786455812</v>
      </c>
      <c r="E191" s="3" t="s">
        <v>828</v>
      </c>
      <c r="F191" s="3" t="s">
        <v>828</v>
      </c>
      <c r="G191" s="4">
        <v>40374</v>
      </c>
      <c r="H191" s="3" t="s">
        <v>20</v>
      </c>
      <c r="I191" s="3">
        <v>1</v>
      </c>
      <c r="J191" s="3"/>
      <c r="K191" s="3" t="s">
        <v>953</v>
      </c>
      <c r="L191" s="3" t="s">
        <v>64</v>
      </c>
      <c r="M191" s="3" t="s">
        <v>954</v>
      </c>
      <c r="N191" s="3" t="s">
        <v>955</v>
      </c>
      <c r="O191" s="3" t="s">
        <v>956</v>
      </c>
      <c r="P191" s="3" t="s">
        <v>25</v>
      </c>
      <c r="Q191" s="3" t="s">
        <v>4806</v>
      </c>
    </row>
    <row r="192" spans="1:17">
      <c r="A192" s="3">
        <v>543029</v>
      </c>
      <c r="B192" s="3" t="s">
        <v>957</v>
      </c>
      <c r="C192" s="3" t="str">
        <f>"9780786448746"</f>
        <v>9780786448746</v>
      </c>
      <c r="D192" s="3" t="str">
        <f>"9780786457960"</f>
        <v>9780786457960</v>
      </c>
      <c r="E192" s="3" t="s">
        <v>828</v>
      </c>
      <c r="F192" s="3" t="s">
        <v>828</v>
      </c>
      <c r="G192" s="4">
        <v>40513</v>
      </c>
      <c r="H192" s="3" t="s">
        <v>20</v>
      </c>
      <c r="I192" s="3">
        <v>1</v>
      </c>
      <c r="J192" s="3"/>
      <c r="K192" s="3" t="s">
        <v>958</v>
      </c>
      <c r="L192" s="3" t="s">
        <v>43</v>
      </c>
      <c r="M192" s="3" t="s">
        <v>959</v>
      </c>
      <c r="N192" s="3" t="s">
        <v>960</v>
      </c>
      <c r="O192" s="3" t="s">
        <v>961</v>
      </c>
      <c r="P192" s="3" t="s">
        <v>25</v>
      </c>
      <c r="Q192" s="3" t="s">
        <v>4807</v>
      </c>
    </row>
    <row r="193" spans="1:17">
      <c r="A193" s="3">
        <v>547047</v>
      </c>
      <c r="B193" s="3" t="s">
        <v>962</v>
      </c>
      <c r="C193" s="3" t="str">
        <f>"9781405179799"</f>
        <v>9781405179799</v>
      </c>
      <c r="D193" s="3" t="str">
        <f>"9781444314854"</f>
        <v>9781444314854</v>
      </c>
      <c r="E193" s="3" t="s">
        <v>32</v>
      </c>
      <c r="F193" s="3" t="s">
        <v>33</v>
      </c>
      <c r="G193" s="4">
        <v>40161</v>
      </c>
      <c r="H193" s="3" t="s">
        <v>20</v>
      </c>
      <c r="I193" s="3">
        <v>1</v>
      </c>
      <c r="J193" s="3" t="s">
        <v>186</v>
      </c>
      <c r="K193" s="3" t="s">
        <v>963</v>
      </c>
      <c r="L193" s="3" t="s">
        <v>182</v>
      </c>
      <c r="M193" s="3" t="s">
        <v>964</v>
      </c>
      <c r="N193" s="3">
        <v>199.8</v>
      </c>
      <c r="O193" s="3" t="s">
        <v>965</v>
      </c>
      <c r="P193" s="3" t="s">
        <v>25</v>
      </c>
      <c r="Q193" s="3" t="s">
        <v>4808</v>
      </c>
    </row>
    <row r="194" spans="1:17">
      <c r="A194" s="3">
        <v>554978</v>
      </c>
      <c r="B194" s="3" t="s">
        <v>966</v>
      </c>
      <c r="C194" s="3" t="str">
        <f>"9780470437469"</f>
        <v>9780470437469</v>
      </c>
      <c r="D194" s="3" t="str">
        <f>"9780470609170"</f>
        <v>9780470609170</v>
      </c>
      <c r="E194" s="3" t="s">
        <v>32</v>
      </c>
      <c r="F194" s="3" t="s">
        <v>32</v>
      </c>
      <c r="G194" s="4">
        <v>40392</v>
      </c>
      <c r="H194" s="3" t="s">
        <v>20</v>
      </c>
      <c r="I194" s="3">
        <v>1</v>
      </c>
      <c r="J194" s="3"/>
      <c r="K194" s="3" t="s">
        <v>967</v>
      </c>
      <c r="L194" s="3" t="s">
        <v>514</v>
      </c>
      <c r="M194" s="3" t="s">
        <v>968</v>
      </c>
      <c r="N194" s="3" t="s">
        <v>969</v>
      </c>
      <c r="O194" s="3" t="s">
        <v>970</v>
      </c>
      <c r="P194" s="3" t="s">
        <v>25</v>
      </c>
      <c r="Q194" s="3" t="s">
        <v>4809</v>
      </c>
    </row>
    <row r="195" spans="1:17">
      <c r="A195" s="3">
        <v>555320</v>
      </c>
      <c r="B195" s="3" t="s">
        <v>971</v>
      </c>
      <c r="C195" s="3" t="str">
        <f>"9780195337976"</f>
        <v>9780195337976</v>
      </c>
      <c r="D195" s="3" t="str">
        <f>"9780199713806"</f>
        <v>9780199713806</v>
      </c>
      <c r="E195" s="3" t="s">
        <v>910</v>
      </c>
      <c r="F195" s="3" t="s">
        <v>910</v>
      </c>
      <c r="G195" s="4">
        <v>40101</v>
      </c>
      <c r="H195" s="3" t="s">
        <v>20</v>
      </c>
      <c r="I195" s="3"/>
      <c r="J195" s="3" t="s">
        <v>972</v>
      </c>
      <c r="K195" s="3" t="s">
        <v>973</v>
      </c>
      <c r="L195" s="3" t="s">
        <v>974</v>
      </c>
      <c r="M195" s="3" t="s">
        <v>975</v>
      </c>
      <c r="N195" s="3">
        <v>909.08</v>
      </c>
      <c r="O195" s="3" t="s">
        <v>976</v>
      </c>
      <c r="P195" s="3" t="s">
        <v>25</v>
      </c>
      <c r="Q195" s="3" t="s">
        <v>4810</v>
      </c>
    </row>
    <row r="196" spans="1:17">
      <c r="A196" s="3">
        <v>555546</v>
      </c>
      <c r="B196" s="3" t="s">
        <v>977</v>
      </c>
      <c r="C196" s="3" t="str">
        <f>"9780230612389"</f>
        <v>9780230612389</v>
      </c>
      <c r="D196" s="3" t="str">
        <f>"9780230101036"</f>
        <v>9780230101036</v>
      </c>
      <c r="E196" s="3" t="s">
        <v>978</v>
      </c>
      <c r="F196" s="3" t="s">
        <v>192</v>
      </c>
      <c r="G196" s="4">
        <v>40099</v>
      </c>
      <c r="H196" s="3" t="s">
        <v>20</v>
      </c>
      <c r="I196" s="3"/>
      <c r="J196" s="3"/>
      <c r="K196" s="3" t="s">
        <v>979</v>
      </c>
      <c r="L196" s="3" t="s">
        <v>532</v>
      </c>
      <c r="M196" s="3" t="s">
        <v>980</v>
      </c>
      <c r="N196" s="3">
        <v>371.2</v>
      </c>
      <c r="O196" s="3" t="s">
        <v>981</v>
      </c>
      <c r="P196" s="3" t="s">
        <v>25</v>
      </c>
      <c r="Q196" s="3" t="s">
        <v>4811</v>
      </c>
    </row>
    <row r="197" spans="1:17">
      <c r="A197" s="3">
        <v>557015</v>
      </c>
      <c r="B197" s="3" t="s">
        <v>982</v>
      </c>
      <c r="C197" s="3" t="str">
        <f>"9781615301379"</f>
        <v>9781615301379</v>
      </c>
      <c r="D197" s="3" t="str">
        <f>"9781615301768"</f>
        <v>9781615301768</v>
      </c>
      <c r="E197" s="3" t="s">
        <v>983</v>
      </c>
      <c r="F197" s="3" t="s">
        <v>984</v>
      </c>
      <c r="G197" s="4">
        <v>40269</v>
      </c>
      <c r="H197" s="3" t="s">
        <v>20</v>
      </c>
      <c r="I197" s="3">
        <v>1</v>
      </c>
      <c r="J197" s="3" t="s">
        <v>985</v>
      </c>
      <c r="K197" s="3" t="s">
        <v>986</v>
      </c>
      <c r="L197" s="3" t="s">
        <v>987</v>
      </c>
      <c r="M197" s="3" t="s">
        <v>988</v>
      </c>
      <c r="N197" s="3" t="s">
        <v>989</v>
      </c>
      <c r="O197" s="3" t="s">
        <v>990</v>
      </c>
      <c r="P197" s="3" t="s">
        <v>25</v>
      </c>
      <c r="Q197" s="3" t="s">
        <v>4812</v>
      </c>
    </row>
    <row r="198" spans="1:17">
      <c r="A198" s="3">
        <v>564462</v>
      </c>
      <c r="B198" s="3" t="s">
        <v>991</v>
      </c>
      <c r="C198" s="3" t="str">
        <f>"9780521872980"</f>
        <v>9780521872980</v>
      </c>
      <c r="D198" s="3" t="str">
        <f>"9780511799099"</f>
        <v>9780511799099</v>
      </c>
      <c r="E198" s="3" t="s">
        <v>41</v>
      </c>
      <c r="F198" s="3" t="s">
        <v>41</v>
      </c>
      <c r="G198" s="4">
        <v>40423</v>
      </c>
      <c r="H198" s="3" t="s">
        <v>20</v>
      </c>
      <c r="I198" s="3"/>
      <c r="J198" s="3" t="s">
        <v>134</v>
      </c>
      <c r="K198" s="3" t="s">
        <v>992</v>
      </c>
      <c r="L198" s="3" t="s">
        <v>22</v>
      </c>
      <c r="M198" s="3" t="s">
        <v>993</v>
      </c>
      <c r="N198" s="3" t="s">
        <v>994</v>
      </c>
      <c r="O198" s="3" t="s">
        <v>995</v>
      </c>
      <c r="P198" s="3" t="s">
        <v>25</v>
      </c>
      <c r="Q198" s="3" t="s">
        <v>4813</v>
      </c>
    </row>
    <row r="199" spans="1:17">
      <c r="A199" s="3">
        <v>564466</v>
      </c>
      <c r="B199" s="3" t="s">
        <v>996</v>
      </c>
      <c r="C199" s="3" t="str">
        <f>"9780521896689"</f>
        <v>9780521896689</v>
      </c>
      <c r="D199" s="3" t="str">
        <f>"9780511799167"</f>
        <v>9780511799167</v>
      </c>
      <c r="E199" s="3" t="s">
        <v>41</v>
      </c>
      <c r="F199" s="3" t="s">
        <v>41</v>
      </c>
      <c r="G199" s="4">
        <v>40409</v>
      </c>
      <c r="H199" s="3" t="s">
        <v>20</v>
      </c>
      <c r="I199" s="3"/>
      <c r="J199" s="3" t="s">
        <v>134</v>
      </c>
      <c r="K199" s="3" t="s">
        <v>997</v>
      </c>
      <c r="L199" s="3" t="s">
        <v>22</v>
      </c>
      <c r="M199" s="3" t="s">
        <v>998</v>
      </c>
      <c r="N199" s="3" t="s">
        <v>999</v>
      </c>
      <c r="O199" s="3" t="s">
        <v>1000</v>
      </c>
      <c r="P199" s="3" t="s">
        <v>25</v>
      </c>
      <c r="Q199" s="3" t="s">
        <v>4814</v>
      </c>
    </row>
    <row r="200" spans="1:17">
      <c r="A200" s="3">
        <v>564967</v>
      </c>
      <c r="B200" s="3" t="s">
        <v>1001</v>
      </c>
      <c r="C200" s="3" t="str">
        <f>"9780470745939"</f>
        <v>9780470745939</v>
      </c>
      <c r="D200" s="3" t="str">
        <f>"9780470689622"</f>
        <v>9780470689622</v>
      </c>
      <c r="E200" s="3" t="s">
        <v>32</v>
      </c>
      <c r="F200" s="3" t="s">
        <v>32</v>
      </c>
      <c r="G200" s="4">
        <v>40238</v>
      </c>
      <c r="H200" s="3" t="s">
        <v>20</v>
      </c>
      <c r="I200" s="3">
        <v>1</v>
      </c>
      <c r="J200" s="3"/>
      <c r="K200" s="3" t="s">
        <v>1002</v>
      </c>
      <c r="L200" s="3" t="s">
        <v>36</v>
      </c>
      <c r="M200" s="3" t="s">
        <v>1003</v>
      </c>
      <c r="N200" s="3">
        <v>658.46</v>
      </c>
      <c r="O200" s="3" t="s">
        <v>1004</v>
      </c>
      <c r="P200" s="3" t="s">
        <v>25</v>
      </c>
      <c r="Q200" s="3" t="s">
        <v>4815</v>
      </c>
    </row>
    <row r="201" spans="1:17">
      <c r="A201" s="3">
        <v>564968</v>
      </c>
      <c r="B201" s="3" t="s">
        <v>1005</v>
      </c>
      <c r="C201" s="3" t="str">
        <f>"9780470745922"</f>
        <v>9780470745922</v>
      </c>
      <c r="D201" s="3" t="str">
        <f>"9780470660362"</f>
        <v>9780470660362</v>
      </c>
      <c r="E201" s="3" t="s">
        <v>32</v>
      </c>
      <c r="F201" s="3" t="s">
        <v>32</v>
      </c>
      <c r="G201" s="4">
        <v>40252</v>
      </c>
      <c r="H201" s="3" t="s">
        <v>20</v>
      </c>
      <c r="I201" s="3">
        <v>1</v>
      </c>
      <c r="J201" s="3"/>
      <c r="K201" s="3" t="s">
        <v>1002</v>
      </c>
      <c r="L201" s="3" t="s">
        <v>36</v>
      </c>
      <c r="M201" s="3" t="s">
        <v>1006</v>
      </c>
      <c r="N201" s="3">
        <v>658.5</v>
      </c>
      <c r="O201" s="3" t="s">
        <v>1007</v>
      </c>
      <c r="P201" s="3" t="s">
        <v>25</v>
      </c>
      <c r="Q201" s="3" t="s">
        <v>4816</v>
      </c>
    </row>
    <row r="202" spans="1:17">
      <c r="A202" s="3">
        <v>565143</v>
      </c>
      <c r="B202" s="3" t="s">
        <v>1008</v>
      </c>
      <c r="C202" s="3" t="str">
        <f>"9780470518373"</f>
        <v>9780470518373</v>
      </c>
      <c r="D202" s="3" t="str">
        <f>"9780470687437"</f>
        <v>9780470687437</v>
      </c>
      <c r="E202" s="3" t="s">
        <v>32</v>
      </c>
      <c r="F202" s="3" t="s">
        <v>32</v>
      </c>
      <c r="G202" s="4">
        <v>39510</v>
      </c>
      <c r="H202" s="3" t="s">
        <v>20</v>
      </c>
      <c r="I202" s="3">
        <v>1</v>
      </c>
      <c r="J202" s="3"/>
      <c r="K202" s="3" t="s">
        <v>1009</v>
      </c>
      <c r="L202" s="3" t="s">
        <v>36</v>
      </c>
      <c r="M202" s="3" t="s">
        <v>1010</v>
      </c>
      <c r="N202" s="3">
        <v>658</v>
      </c>
      <c r="O202" s="3" t="s">
        <v>1011</v>
      </c>
      <c r="P202" s="3" t="s">
        <v>25</v>
      </c>
      <c r="Q202" s="3" t="s">
        <v>4817</v>
      </c>
    </row>
    <row r="203" spans="1:17">
      <c r="A203" s="3">
        <v>565364</v>
      </c>
      <c r="B203" s="3" t="s">
        <v>1012</v>
      </c>
      <c r="C203" s="3" t="str">
        <f>"9780195389692"</f>
        <v>9780195389692</v>
      </c>
      <c r="D203" s="3" t="str">
        <f>"9780199780624"</f>
        <v>9780199780624</v>
      </c>
      <c r="E203" s="3" t="s">
        <v>910</v>
      </c>
      <c r="F203" s="3" t="s">
        <v>910</v>
      </c>
      <c r="G203" s="4">
        <v>40478</v>
      </c>
      <c r="H203" s="3" t="s">
        <v>20</v>
      </c>
      <c r="I203" s="3"/>
      <c r="J203" s="3" t="s">
        <v>1013</v>
      </c>
      <c r="K203" s="3" t="s">
        <v>1014</v>
      </c>
      <c r="L203" s="3" t="s">
        <v>204</v>
      </c>
      <c r="M203" s="3" t="s">
        <v>1015</v>
      </c>
      <c r="N203" s="3">
        <v>616.1</v>
      </c>
      <c r="O203" s="3" t="s">
        <v>1016</v>
      </c>
      <c r="P203" s="3" t="s">
        <v>25</v>
      </c>
      <c r="Q203" s="3" t="s">
        <v>4818</v>
      </c>
    </row>
    <row r="204" spans="1:17">
      <c r="A204" s="3">
        <v>570418</v>
      </c>
      <c r="B204" s="3" t="s">
        <v>1017</v>
      </c>
      <c r="C204" s="3" t="str">
        <f>"9780786443734"</f>
        <v>9780786443734</v>
      </c>
      <c r="D204" s="3" t="str">
        <f>"9780786457632"</f>
        <v>9780786457632</v>
      </c>
      <c r="E204" s="3" t="s">
        <v>828</v>
      </c>
      <c r="F204" s="3" t="s">
        <v>828</v>
      </c>
      <c r="G204" s="4">
        <v>40364</v>
      </c>
      <c r="H204" s="3" t="s">
        <v>20</v>
      </c>
      <c r="I204" s="3">
        <v>5</v>
      </c>
      <c r="J204" s="3"/>
      <c r="K204" s="3" t="s">
        <v>922</v>
      </c>
      <c r="L204" s="3" t="s">
        <v>1018</v>
      </c>
      <c r="M204" s="3" t="s">
        <v>1019</v>
      </c>
      <c r="N204" s="3" t="s">
        <v>1020</v>
      </c>
      <c r="O204" s="3" t="s">
        <v>1021</v>
      </c>
      <c r="P204" s="3" t="s">
        <v>25</v>
      </c>
      <c r="Q204" s="3" t="s">
        <v>4819</v>
      </c>
    </row>
    <row r="205" spans="1:17">
      <c r="A205" s="3">
        <v>578795</v>
      </c>
      <c r="B205" s="3" t="s">
        <v>1022</v>
      </c>
      <c r="C205" s="3" t="str">
        <f>"9780195399769"</f>
        <v>9780195399769</v>
      </c>
      <c r="D205" s="3" t="str">
        <f>"9780199750436"</f>
        <v>9780199750436</v>
      </c>
      <c r="E205" s="3" t="s">
        <v>910</v>
      </c>
      <c r="F205" s="3" t="s">
        <v>910</v>
      </c>
      <c r="G205" s="4">
        <v>40430</v>
      </c>
      <c r="H205" s="3" t="s">
        <v>20</v>
      </c>
      <c r="I205" s="3"/>
      <c r="J205" s="3"/>
      <c r="K205" s="3" t="s">
        <v>1023</v>
      </c>
      <c r="L205" s="3" t="s">
        <v>58</v>
      </c>
      <c r="M205" s="3" t="s">
        <v>1024</v>
      </c>
      <c r="N205" s="3">
        <v>947.5</v>
      </c>
      <c r="O205" s="3" t="s">
        <v>1025</v>
      </c>
      <c r="P205" s="3" t="s">
        <v>25</v>
      </c>
      <c r="Q205" s="3" t="s">
        <v>4820</v>
      </c>
    </row>
    <row r="206" spans="1:17">
      <c r="A206" s="3">
        <v>585321</v>
      </c>
      <c r="B206" s="3" t="s">
        <v>1026</v>
      </c>
      <c r="C206" s="3" t="str">
        <f>"9780521736879"</f>
        <v>9780521736879</v>
      </c>
      <c r="D206" s="3" t="str">
        <f>"9780511915161"</f>
        <v>9780511915161</v>
      </c>
      <c r="E206" s="3" t="s">
        <v>41</v>
      </c>
      <c r="F206" s="3" t="s">
        <v>41</v>
      </c>
      <c r="G206" s="4">
        <v>40514</v>
      </c>
      <c r="H206" s="3" t="s">
        <v>20</v>
      </c>
      <c r="I206" s="3">
        <v>5</v>
      </c>
      <c r="J206" s="3"/>
      <c r="K206" s="3" t="s">
        <v>1027</v>
      </c>
      <c r="L206" s="3" t="s">
        <v>204</v>
      </c>
      <c r="M206" s="3" t="s">
        <v>1028</v>
      </c>
      <c r="N206" s="3" t="s">
        <v>1029</v>
      </c>
      <c r="O206" s="3" t="s">
        <v>1030</v>
      </c>
      <c r="P206" s="3" t="s">
        <v>25</v>
      </c>
      <c r="Q206" s="3" t="s">
        <v>4821</v>
      </c>
    </row>
    <row r="207" spans="1:17">
      <c r="A207" s="3">
        <v>585347</v>
      </c>
      <c r="B207" s="3" t="s">
        <v>1031</v>
      </c>
      <c r="C207" s="3" t="str">
        <f>"9780521514019"</f>
        <v>9780521514019</v>
      </c>
      <c r="D207" s="3" t="str">
        <f>"9780511915086"</f>
        <v>9780511915086</v>
      </c>
      <c r="E207" s="3" t="s">
        <v>41</v>
      </c>
      <c r="F207" s="3" t="s">
        <v>41</v>
      </c>
      <c r="G207" s="4">
        <v>40479</v>
      </c>
      <c r="H207" s="3" t="s">
        <v>20</v>
      </c>
      <c r="I207" s="3"/>
      <c r="J207" s="3" t="s">
        <v>134</v>
      </c>
      <c r="K207" s="3" t="s">
        <v>1032</v>
      </c>
      <c r="L207" s="3" t="s">
        <v>22</v>
      </c>
      <c r="M207" s="3" t="s">
        <v>1033</v>
      </c>
      <c r="N207" s="3" t="s">
        <v>1034</v>
      </c>
      <c r="O207" s="3" t="s">
        <v>1035</v>
      </c>
      <c r="P207" s="3" t="s">
        <v>25</v>
      </c>
      <c r="Q207" s="3" t="s">
        <v>4822</v>
      </c>
    </row>
    <row r="208" spans="1:17">
      <c r="A208" s="3">
        <v>585367</v>
      </c>
      <c r="B208" s="3" t="s">
        <v>1036</v>
      </c>
      <c r="C208" s="3" t="str">
        <f>"9780521147842"</f>
        <v>9780521147842</v>
      </c>
      <c r="D208" s="3" t="str">
        <f>"9780511914966"</f>
        <v>9780511914966</v>
      </c>
      <c r="E208" s="3" t="s">
        <v>41</v>
      </c>
      <c r="F208" s="3" t="s">
        <v>41</v>
      </c>
      <c r="G208" s="4">
        <v>40493</v>
      </c>
      <c r="H208" s="3" t="s">
        <v>20</v>
      </c>
      <c r="I208" s="3">
        <v>2</v>
      </c>
      <c r="J208" s="3"/>
      <c r="K208" s="3" t="s">
        <v>1037</v>
      </c>
      <c r="L208" s="3" t="s">
        <v>204</v>
      </c>
      <c r="M208" s="3" t="s">
        <v>1038</v>
      </c>
      <c r="N208" s="3" t="s">
        <v>588</v>
      </c>
      <c r="O208" s="3" t="s">
        <v>1039</v>
      </c>
      <c r="P208" s="3" t="s">
        <v>25</v>
      </c>
      <c r="Q208" s="3" t="s">
        <v>4823</v>
      </c>
    </row>
    <row r="209" spans="1:17">
      <c r="A209" s="3">
        <v>585372</v>
      </c>
      <c r="B209" s="3" t="s">
        <v>1040</v>
      </c>
      <c r="C209" s="3" t="str">
        <f>"9780521880770"</f>
        <v>9780521880770</v>
      </c>
      <c r="D209" s="3" t="str">
        <f>"9780511915314"</f>
        <v>9780511915314</v>
      </c>
      <c r="E209" s="3" t="s">
        <v>41</v>
      </c>
      <c r="F209" s="3" t="s">
        <v>41</v>
      </c>
      <c r="G209" s="4">
        <v>40458</v>
      </c>
      <c r="H209" s="3" t="s">
        <v>20</v>
      </c>
      <c r="I209" s="3"/>
      <c r="J209" s="3" t="s">
        <v>134</v>
      </c>
      <c r="K209" s="3" t="s">
        <v>1041</v>
      </c>
      <c r="L209" s="3" t="s">
        <v>1042</v>
      </c>
      <c r="M209" s="3" t="s">
        <v>1043</v>
      </c>
      <c r="N209" s="3">
        <v>891.72299999999996</v>
      </c>
      <c r="O209" s="3" t="s">
        <v>1044</v>
      </c>
      <c r="P209" s="3" t="s">
        <v>25</v>
      </c>
      <c r="Q209" s="3" t="s">
        <v>4824</v>
      </c>
    </row>
    <row r="210" spans="1:17">
      <c r="A210" s="3">
        <v>585375</v>
      </c>
      <c r="B210" s="3" t="s">
        <v>1045</v>
      </c>
      <c r="C210" s="3" t="str">
        <f>"9780521885751"</f>
        <v>9780521885751</v>
      </c>
      <c r="D210" s="3" t="str">
        <f>"9780511915369"</f>
        <v>9780511915369</v>
      </c>
      <c r="E210" s="3" t="s">
        <v>41</v>
      </c>
      <c r="F210" s="3" t="s">
        <v>41</v>
      </c>
      <c r="G210" s="4">
        <v>40507</v>
      </c>
      <c r="H210" s="3" t="s">
        <v>20</v>
      </c>
      <c r="I210" s="3"/>
      <c r="J210" s="3" t="s">
        <v>134</v>
      </c>
      <c r="K210" s="3" t="s">
        <v>1046</v>
      </c>
      <c r="L210" s="3" t="s">
        <v>22</v>
      </c>
      <c r="M210" s="3" t="s">
        <v>1047</v>
      </c>
      <c r="N210" s="3">
        <v>809.3</v>
      </c>
      <c r="O210" s="3" t="s">
        <v>1048</v>
      </c>
      <c r="P210" s="3" t="s">
        <v>25</v>
      </c>
      <c r="Q210" s="3" t="s">
        <v>4825</v>
      </c>
    </row>
    <row r="211" spans="1:17">
      <c r="A211" s="3">
        <v>585387</v>
      </c>
      <c r="B211" s="3" t="s">
        <v>1049</v>
      </c>
      <c r="C211" s="3" t="str">
        <f>"9780521879415"</f>
        <v>9780521879415</v>
      </c>
      <c r="D211" s="3" t="str">
        <f>"9780511915291"</f>
        <v>9780511915291</v>
      </c>
      <c r="E211" s="3" t="s">
        <v>41</v>
      </c>
      <c r="F211" s="3" t="s">
        <v>41</v>
      </c>
      <c r="G211" s="4">
        <v>40458</v>
      </c>
      <c r="H211" s="3" t="s">
        <v>20</v>
      </c>
      <c r="I211" s="3"/>
      <c r="J211" s="3" t="s">
        <v>134</v>
      </c>
      <c r="K211" s="3" t="s">
        <v>1050</v>
      </c>
      <c r="L211" s="3" t="s">
        <v>22</v>
      </c>
      <c r="M211" s="3" t="s">
        <v>1051</v>
      </c>
      <c r="N211" s="3">
        <v>821.3</v>
      </c>
      <c r="O211" s="3" t="s">
        <v>1052</v>
      </c>
      <c r="P211" s="3" t="s">
        <v>25</v>
      </c>
      <c r="Q211" s="3" t="s">
        <v>4826</v>
      </c>
    </row>
    <row r="212" spans="1:17">
      <c r="A212" s="3">
        <v>588895</v>
      </c>
      <c r="B212" s="3" t="s">
        <v>1053</v>
      </c>
      <c r="C212" s="3" t="str">
        <f>"9780470560853"</f>
        <v>9780470560853</v>
      </c>
      <c r="D212" s="3" t="str">
        <f>"9780470642269"</f>
        <v>9780470642269</v>
      </c>
      <c r="E212" s="3" t="s">
        <v>32</v>
      </c>
      <c r="F212" s="3" t="s">
        <v>530</v>
      </c>
      <c r="G212" s="4">
        <v>40413</v>
      </c>
      <c r="H212" s="3" t="s">
        <v>20</v>
      </c>
      <c r="I212" s="3">
        <v>3</v>
      </c>
      <c r="J212" s="3" t="s">
        <v>1054</v>
      </c>
      <c r="K212" s="3" t="s">
        <v>1055</v>
      </c>
      <c r="L212" s="3" t="s">
        <v>532</v>
      </c>
      <c r="M212" s="3" t="s">
        <v>1056</v>
      </c>
      <c r="N212" s="3">
        <v>372.14</v>
      </c>
      <c r="O212" s="3" t="s">
        <v>1057</v>
      </c>
      <c r="P212" s="3" t="s">
        <v>25</v>
      </c>
      <c r="Q212" s="3" t="s">
        <v>4827</v>
      </c>
    </row>
    <row r="213" spans="1:17">
      <c r="A213" s="3">
        <v>602186</v>
      </c>
      <c r="B213" s="3" t="s">
        <v>1058</v>
      </c>
      <c r="C213" s="3" t="str">
        <f>"9780786458554"</f>
        <v>9780786458554</v>
      </c>
      <c r="D213" s="3" t="str">
        <f>"9780786459957"</f>
        <v>9780786459957</v>
      </c>
      <c r="E213" s="3" t="s">
        <v>828</v>
      </c>
      <c r="F213" s="3" t="s">
        <v>828</v>
      </c>
      <c r="G213" s="4">
        <v>40455</v>
      </c>
      <c r="H213" s="3" t="s">
        <v>20</v>
      </c>
      <c r="I213" s="3">
        <v>2</v>
      </c>
      <c r="J213" s="3"/>
      <c r="K213" s="3" t="s">
        <v>1059</v>
      </c>
      <c r="L213" s="3" t="s">
        <v>504</v>
      </c>
      <c r="M213" s="3" t="s">
        <v>1060</v>
      </c>
      <c r="N213" s="3" t="s">
        <v>1061</v>
      </c>
      <c r="O213" s="3"/>
      <c r="P213" s="3" t="s">
        <v>25</v>
      </c>
      <c r="Q213" s="3" t="s">
        <v>4828</v>
      </c>
    </row>
    <row r="214" spans="1:17">
      <c r="A214" s="3">
        <v>605009</v>
      </c>
      <c r="B214" s="3" t="s">
        <v>1062</v>
      </c>
      <c r="C214" s="3" t="str">
        <f>"9780521193849"</f>
        <v>9780521193849</v>
      </c>
      <c r="D214" s="3" t="str">
        <f>"9780511927485"</f>
        <v>9780511927485</v>
      </c>
      <c r="E214" s="3" t="s">
        <v>41</v>
      </c>
      <c r="F214" s="3" t="s">
        <v>41</v>
      </c>
      <c r="G214" s="4">
        <v>40388</v>
      </c>
      <c r="H214" s="3" t="s">
        <v>20</v>
      </c>
      <c r="I214" s="3"/>
      <c r="J214" s="3"/>
      <c r="K214" s="3" t="s">
        <v>1063</v>
      </c>
      <c r="L214" s="3" t="s">
        <v>1064</v>
      </c>
      <c r="M214" s="3" t="s">
        <v>1065</v>
      </c>
      <c r="N214" s="3" t="s">
        <v>1066</v>
      </c>
      <c r="O214" s="3" t="s">
        <v>1067</v>
      </c>
      <c r="P214" s="3" t="s">
        <v>25</v>
      </c>
      <c r="Q214" s="3" t="s">
        <v>4829</v>
      </c>
    </row>
    <row r="215" spans="1:17">
      <c r="A215" s="3">
        <v>605025</v>
      </c>
      <c r="B215" s="3" t="s">
        <v>1068</v>
      </c>
      <c r="C215" s="3" t="str">
        <f>"9780521515115"</f>
        <v>9780521515115</v>
      </c>
      <c r="D215" s="3" t="str">
        <f>"9780511928000"</f>
        <v>9780511928000</v>
      </c>
      <c r="E215" s="3" t="s">
        <v>41</v>
      </c>
      <c r="F215" s="3" t="s">
        <v>41</v>
      </c>
      <c r="G215" s="4">
        <v>40535</v>
      </c>
      <c r="H215" s="3" t="s">
        <v>20</v>
      </c>
      <c r="I215" s="3"/>
      <c r="J215" s="3"/>
      <c r="K215" s="3" t="s">
        <v>1069</v>
      </c>
      <c r="L215" s="3" t="s">
        <v>317</v>
      </c>
      <c r="M215" s="3" t="s">
        <v>1070</v>
      </c>
      <c r="N215" s="3">
        <v>616.84979999999996</v>
      </c>
      <c r="O215" s="3" t="s">
        <v>1071</v>
      </c>
      <c r="P215" s="3" t="s">
        <v>25</v>
      </c>
      <c r="Q215" s="3" t="s">
        <v>4830</v>
      </c>
    </row>
    <row r="216" spans="1:17">
      <c r="A216" s="3">
        <v>605051</v>
      </c>
      <c r="B216" s="3" t="s">
        <v>1072</v>
      </c>
      <c r="C216" s="3" t="str">
        <f>"9780521896351"</f>
        <v>9780521896351</v>
      </c>
      <c r="D216" s="3" t="str">
        <f>"9780511928291"</f>
        <v>9780511928291</v>
      </c>
      <c r="E216" s="3" t="s">
        <v>41</v>
      </c>
      <c r="F216" s="3" t="s">
        <v>41</v>
      </c>
      <c r="G216" s="4">
        <v>40549</v>
      </c>
      <c r="H216" s="3" t="s">
        <v>20</v>
      </c>
      <c r="I216" s="3"/>
      <c r="J216" s="3" t="s">
        <v>134</v>
      </c>
      <c r="K216" s="3" t="s">
        <v>1073</v>
      </c>
      <c r="L216" s="3" t="s">
        <v>22</v>
      </c>
      <c r="M216" s="3" t="s">
        <v>1074</v>
      </c>
      <c r="N216" s="3">
        <v>809.93355299999996</v>
      </c>
      <c r="O216" s="3" t="s">
        <v>1075</v>
      </c>
      <c r="P216" s="3" t="s">
        <v>25</v>
      </c>
      <c r="Q216" s="3" t="s">
        <v>4831</v>
      </c>
    </row>
    <row r="217" spans="1:17">
      <c r="A217" s="3">
        <v>605059</v>
      </c>
      <c r="B217" s="3" t="s">
        <v>1076</v>
      </c>
      <c r="C217" s="3" t="str">
        <f>"9780521194235"</f>
        <v>9780521194235</v>
      </c>
      <c r="D217" s="3" t="str">
        <f>"9780511927294"</f>
        <v>9780511927294</v>
      </c>
      <c r="E217" s="3" t="s">
        <v>41</v>
      </c>
      <c r="F217" s="3" t="s">
        <v>41</v>
      </c>
      <c r="G217" s="4">
        <v>40360</v>
      </c>
      <c r="H217" s="3" t="s">
        <v>20</v>
      </c>
      <c r="I217" s="3"/>
      <c r="J217" s="3"/>
      <c r="K217" s="3" t="s">
        <v>1077</v>
      </c>
      <c r="L217" s="3" t="s">
        <v>1078</v>
      </c>
      <c r="M217" s="3" t="s">
        <v>1079</v>
      </c>
      <c r="N217" s="3">
        <v>507.2</v>
      </c>
      <c r="O217" s="3" t="s">
        <v>1080</v>
      </c>
      <c r="P217" s="3" t="s">
        <v>25</v>
      </c>
      <c r="Q217" s="3" t="s">
        <v>4832</v>
      </c>
    </row>
    <row r="218" spans="1:17">
      <c r="A218" s="3">
        <v>605339</v>
      </c>
      <c r="B218" s="3" t="s">
        <v>1081</v>
      </c>
      <c r="C218" s="3" t="str">
        <f>"9781615303328"</f>
        <v>9781615303328</v>
      </c>
      <c r="D218" s="3" t="str">
        <f>"9781615304097"</f>
        <v>9781615304097</v>
      </c>
      <c r="E218" s="3" t="s">
        <v>983</v>
      </c>
      <c r="F218" s="3" t="s">
        <v>984</v>
      </c>
      <c r="G218" s="4">
        <v>40452</v>
      </c>
      <c r="H218" s="3" t="s">
        <v>20</v>
      </c>
      <c r="I218" s="3">
        <v>1</v>
      </c>
      <c r="J218" s="3" t="s">
        <v>1082</v>
      </c>
      <c r="K218" s="3" t="s">
        <v>1083</v>
      </c>
      <c r="L218" s="3" t="s">
        <v>49</v>
      </c>
      <c r="M218" s="3" t="s">
        <v>1084</v>
      </c>
      <c r="N218" s="3">
        <v>599.35</v>
      </c>
      <c r="O218" s="3" t="s">
        <v>1085</v>
      </c>
      <c r="P218" s="3" t="s">
        <v>25</v>
      </c>
      <c r="Q218" s="3" t="s">
        <v>4833</v>
      </c>
    </row>
    <row r="219" spans="1:17">
      <c r="A219" s="3">
        <v>605886</v>
      </c>
      <c r="B219" s="3" t="s">
        <v>1086</v>
      </c>
      <c r="C219" s="3" t="str">
        <f>"9780826114716"</f>
        <v>9780826114716</v>
      </c>
      <c r="D219" s="3" t="str">
        <f>"9780826117717"</f>
        <v>9780826117717</v>
      </c>
      <c r="E219" s="3" t="s">
        <v>496</v>
      </c>
      <c r="F219" s="3" t="s">
        <v>496</v>
      </c>
      <c r="G219" s="4">
        <v>40422</v>
      </c>
      <c r="H219" s="3" t="s">
        <v>20</v>
      </c>
      <c r="I219" s="3">
        <v>1</v>
      </c>
      <c r="J219" s="3"/>
      <c r="K219" s="3" t="s">
        <v>1087</v>
      </c>
      <c r="L219" s="3" t="s">
        <v>1088</v>
      </c>
      <c r="M219" s="3" t="s">
        <v>1089</v>
      </c>
      <c r="N219" s="3" t="s">
        <v>1090</v>
      </c>
      <c r="O219" s="3" t="s">
        <v>1091</v>
      </c>
      <c r="P219" s="3" t="s">
        <v>25</v>
      </c>
      <c r="Q219" s="3" t="s">
        <v>4834</v>
      </c>
    </row>
    <row r="220" spans="1:17">
      <c r="A220" s="3">
        <v>615761</v>
      </c>
      <c r="B220" s="3" t="s">
        <v>1092</v>
      </c>
      <c r="C220" s="3" t="str">
        <f>"9780521195713"</f>
        <v>9780521195713</v>
      </c>
      <c r="D220" s="3" t="str">
        <f>"9780511857713"</f>
        <v>9780511857713</v>
      </c>
      <c r="E220" s="3" t="s">
        <v>41</v>
      </c>
      <c r="F220" s="3" t="s">
        <v>41</v>
      </c>
      <c r="G220" s="4">
        <v>40462</v>
      </c>
      <c r="H220" s="3" t="s">
        <v>20</v>
      </c>
      <c r="I220" s="3">
        <v>5</v>
      </c>
      <c r="J220" s="3"/>
      <c r="K220" s="3" t="s">
        <v>1093</v>
      </c>
      <c r="L220" s="3" t="s">
        <v>1094</v>
      </c>
      <c r="M220" s="3" t="s">
        <v>1095</v>
      </c>
      <c r="N220" s="3" t="s">
        <v>1096</v>
      </c>
      <c r="O220" s="3" t="s">
        <v>1097</v>
      </c>
      <c r="P220" s="3" t="s">
        <v>25</v>
      </c>
      <c r="Q220" s="3" t="s">
        <v>4835</v>
      </c>
    </row>
    <row r="221" spans="1:17">
      <c r="A221" s="3">
        <v>615764</v>
      </c>
      <c r="B221" s="3" t="s">
        <v>1098</v>
      </c>
      <c r="C221" s="3" t="str">
        <f>"9780521630306"</f>
        <v>9780521630306</v>
      </c>
      <c r="D221" s="3" t="str">
        <f>"9780511858345"</f>
        <v>9780511858345</v>
      </c>
      <c r="E221" s="3" t="s">
        <v>41</v>
      </c>
      <c r="F221" s="3" t="s">
        <v>41</v>
      </c>
      <c r="G221" s="4">
        <v>40584</v>
      </c>
      <c r="H221" s="3" t="s">
        <v>20</v>
      </c>
      <c r="I221" s="3"/>
      <c r="J221" s="3"/>
      <c r="K221" s="3" t="s">
        <v>1099</v>
      </c>
      <c r="L221" s="3" t="s">
        <v>214</v>
      </c>
      <c r="M221" s="3" t="s">
        <v>1100</v>
      </c>
      <c r="N221" s="3">
        <v>523.88</v>
      </c>
      <c r="O221" s="3" t="s">
        <v>1101</v>
      </c>
      <c r="P221" s="3" t="s">
        <v>25</v>
      </c>
      <c r="Q221" s="3" t="s">
        <v>4836</v>
      </c>
    </row>
    <row r="222" spans="1:17">
      <c r="A222" s="3">
        <v>624285</v>
      </c>
      <c r="B222" s="3" t="s">
        <v>1102</v>
      </c>
      <c r="C222" s="3" t="str">
        <f>"9781615303021"</f>
        <v>9781615303021</v>
      </c>
      <c r="D222" s="3" t="str">
        <f>"9781615303786"</f>
        <v>9781615303786</v>
      </c>
      <c r="E222" s="3" t="s">
        <v>983</v>
      </c>
      <c r="F222" s="3" t="s">
        <v>984</v>
      </c>
      <c r="G222" s="4">
        <v>40452</v>
      </c>
      <c r="H222" s="3" t="s">
        <v>20</v>
      </c>
      <c r="I222" s="3">
        <v>1</v>
      </c>
      <c r="J222" s="3" t="s">
        <v>1103</v>
      </c>
      <c r="K222" s="3" t="s">
        <v>1104</v>
      </c>
      <c r="L222" s="3" t="s">
        <v>1105</v>
      </c>
      <c r="M222" s="3" t="s">
        <v>1106</v>
      </c>
      <c r="N222" s="3">
        <v>577</v>
      </c>
      <c r="O222" s="3" t="s">
        <v>1107</v>
      </c>
      <c r="P222" s="3" t="s">
        <v>25</v>
      </c>
      <c r="Q222" s="3" t="s">
        <v>4837</v>
      </c>
    </row>
    <row r="223" spans="1:17">
      <c r="A223" s="3">
        <v>624292</v>
      </c>
      <c r="B223" s="3" t="s">
        <v>1108</v>
      </c>
      <c r="C223" s="3" t="str">
        <f>"9781615303403"</f>
        <v>9781615303403</v>
      </c>
      <c r="D223" s="3" t="str">
        <f>"9781615303854"</f>
        <v>9781615303854</v>
      </c>
      <c r="E223" s="3" t="s">
        <v>983</v>
      </c>
      <c r="F223" s="3" t="s">
        <v>984</v>
      </c>
      <c r="G223" s="4">
        <v>40452</v>
      </c>
      <c r="H223" s="3" t="s">
        <v>20</v>
      </c>
      <c r="I223" s="3">
        <v>1</v>
      </c>
      <c r="J223" s="3" t="s">
        <v>1082</v>
      </c>
      <c r="K223" s="3" t="s">
        <v>1083</v>
      </c>
      <c r="L223" s="3" t="s">
        <v>49</v>
      </c>
      <c r="M223" s="3" t="s">
        <v>1109</v>
      </c>
      <c r="N223" s="3">
        <v>599.70000000000005</v>
      </c>
      <c r="O223" s="3" t="s">
        <v>1110</v>
      </c>
      <c r="P223" s="3" t="s">
        <v>25</v>
      </c>
      <c r="Q223" s="3" t="s">
        <v>4838</v>
      </c>
    </row>
    <row r="224" spans="1:17">
      <c r="A224" s="3">
        <v>624304</v>
      </c>
      <c r="B224" s="3" t="s">
        <v>1111</v>
      </c>
      <c r="C224" s="3" t="str">
        <f>"9781615303274"</f>
        <v>9781615303274</v>
      </c>
      <c r="D224" s="3" t="str">
        <f>"9781615304073"</f>
        <v>9781615304073</v>
      </c>
      <c r="E224" s="3" t="s">
        <v>983</v>
      </c>
      <c r="F224" s="3" t="s">
        <v>984</v>
      </c>
      <c r="G224" s="4">
        <v>40452</v>
      </c>
      <c r="H224" s="3" t="s">
        <v>20</v>
      </c>
      <c r="I224" s="3">
        <v>1</v>
      </c>
      <c r="J224" s="3" t="s">
        <v>1112</v>
      </c>
      <c r="K224" s="3" t="s">
        <v>1113</v>
      </c>
      <c r="L224" s="3" t="s">
        <v>58</v>
      </c>
      <c r="M224" s="3" t="s">
        <v>1114</v>
      </c>
      <c r="N224" s="3">
        <v>953.6</v>
      </c>
      <c r="O224" s="3" t="s">
        <v>1115</v>
      </c>
      <c r="P224" s="3" t="s">
        <v>25</v>
      </c>
      <c r="Q224" s="3" t="s">
        <v>4839</v>
      </c>
    </row>
    <row r="225" spans="1:17">
      <c r="A225" s="3">
        <v>624305</v>
      </c>
      <c r="B225" s="3" t="s">
        <v>1116</v>
      </c>
      <c r="C225" s="3" t="str">
        <f>"9781615303397"</f>
        <v>9781615303397</v>
      </c>
      <c r="D225" s="3" t="str">
        <f>"9781615304080"</f>
        <v>9781615304080</v>
      </c>
      <c r="E225" s="3" t="s">
        <v>983</v>
      </c>
      <c r="F225" s="3" t="s">
        <v>984</v>
      </c>
      <c r="G225" s="4">
        <v>40452</v>
      </c>
      <c r="H225" s="3" t="s">
        <v>20</v>
      </c>
      <c r="I225" s="3">
        <v>1</v>
      </c>
      <c r="J225" s="3" t="s">
        <v>1082</v>
      </c>
      <c r="K225" s="3" t="s">
        <v>1083</v>
      </c>
      <c r="L225" s="3" t="s">
        <v>1117</v>
      </c>
      <c r="M225" s="3" t="s">
        <v>1118</v>
      </c>
      <c r="N225" s="3">
        <v>599.79999999999995</v>
      </c>
      <c r="O225" s="3" t="s">
        <v>1119</v>
      </c>
      <c r="P225" s="3" t="s">
        <v>25</v>
      </c>
      <c r="Q225" s="3" t="s">
        <v>4840</v>
      </c>
    </row>
    <row r="226" spans="1:17">
      <c r="A226" s="3">
        <v>624617</v>
      </c>
      <c r="B226" s="3" t="s">
        <v>1120</v>
      </c>
      <c r="C226" s="3" t="str">
        <f>"9780470547434"</f>
        <v>9780470547434</v>
      </c>
      <c r="D226" s="3" t="str">
        <f>"9780470872925"</f>
        <v>9780470872925</v>
      </c>
      <c r="E226" s="3" t="s">
        <v>32</v>
      </c>
      <c r="F226" s="3" t="s">
        <v>530</v>
      </c>
      <c r="G226" s="4">
        <v>40491</v>
      </c>
      <c r="H226" s="3" t="s">
        <v>20</v>
      </c>
      <c r="I226" s="3">
        <v>2</v>
      </c>
      <c r="J226" s="3" t="s">
        <v>1054</v>
      </c>
      <c r="K226" s="3" t="s">
        <v>1121</v>
      </c>
      <c r="L226" s="3" t="s">
        <v>532</v>
      </c>
      <c r="M226" s="3" t="s">
        <v>1122</v>
      </c>
      <c r="N226" s="3" t="s">
        <v>1123</v>
      </c>
      <c r="O226" s="3" t="s">
        <v>1124</v>
      </c>
      <c r="P226" s="3" t="s">
        <v>25</v>
      </c>
      <c r="Q226" s="3" t="s">
        <v>4841</v>
      </c>
    </row>
    <row r="227" spans="1:17">
      <c r="A227" s="3">
        <v>624647</v>
      </c>
      <c r="B227" s="3" t="s">
        <v>1125</v>
      </c>
      <c r="C227" s="3" t="str">
        <f>"9781444334043"</f>
        <v>9781444334043</v>
      </c>
      <c r="D227" s="3" t="str">
        <f>"9781444328363"</f>
        <v>9781444328363</v>
      </c>
      <c r="E227" s="3" t="s">
        <v>32</v>
      </c>
      <c r="F227" s="3" t="s">
        <v>33</v>
      </c>
      <c r="G227" s="4">
        <v>40574</v>
      </c>
      <c r="H227" s="3" t="s">
        <v>20</v>
      </c>
      <c r="I227" s="3">
        <v>1</v>
      </c>
      <c r="J227" s="3" t="s">
        <v>404</v>
      </c>
      <c r="K227" s="3" t="s">
        <v>1126</v>
      </c>
      <c r="L227" s="3" t="s">
        <v>406</v>
      </c>
      <c r="M227" s="3" t="s">
        <v>1127</v>
      </c>
      <c r="N227" s="3">
        <v>796.08699999999999</v>
      </c>
      <c r="O227" s="3" t="s">
        <v>1128</v>
      </c>
      <c r="P227" s="3" t="s">
        <v>25</v>
      </c>
      <c r="Q227" s="3" t="s">
        <v>4842</v>
      </c>
    </row>
    <row r="228" spans="1:17">
      <c r="A228" s="3">
        <v>624726</v>
      </c>
      <c r="B228" s="3" t="s">
        <v>1129</v>
      </c>
      <c r="C228" s="3" t="str">
        <f>"9781405183529"</f>
        <v>9781405183529</v>
      </c>
      <c r="D228" s="3" t="str">
        <f>"9781444392630"</f>
        <v>9781444392630</v>
      </c>
      <c r="E228" s="3" t="s">
        <v>32</v>
      </c>
      <c r="F228" s="3" t="s">
        <v>33</v>
      </c>
      <c r="G228" s="4">
        <v>40568</v>
      </c>
      <c r="H228" s="3" t="s">
        <v>20</v>
      </c>
      <c r="I228" s="3">
        <v>1</v>
      </c>
      <c r="J228" s="3"/>
      <c r="K228" s="3" t="s">
        <v>1130</v>
      </c>
      <c r="L228" s="3" t="s">
        <v>64</v>
      </c>
      <c r="M228" s="3" t="s">
        <v>1131</v>
      </c>
      <c r="N228" s="3">
        <v>301.02999999999997</v>
      </c>
      <c r="O228" s="3" t="s">
        <v>1132</v>
      </c>
      <c r="P228" s="3" t="s">
        <v>25</v>
      </c>
      <c r="Q228" s="3" t="s">
        <v>4843</v>
      </c>
    </row>
    <row r="229" spans="1:17">
      <c r="A229" s="3">
        <v>624730</v>
      </c>
      <c r="B229" s="3" t="s">
        <v>1133</v>
      </c>
      <c r="C229" s="3" t="str">
        <f>"9781405179362"</f>
        <v>9781405179362</v>
      </c>
      <c r="D229" s="3" t="str">
        <f>"9781444327526"</f>
        <v>9781444327526</v>
      </c>
      <c r="E229" s="3" t="s">
        <v>32</v>
      </c>
      <c r="F229" s="3" t="s">
        <v>33</v>
      </c>
      <c r="G229" s="4">
        <v>40518</v>
      </c>
      <c r="H229" s="3" t="s">
        <v>20</v>
      </c>
      <c r="I229" s="3">
        <v>1</v>
      </c>
      <c r="J229" s="3" t="s">
        <v>111</v>
      </c>
      <c r="K229" s="3" t="s">
        <v>1134</v>
      </c>
      <c r="L229" s="3" t="s">
        <v>58</v>
      </c>
      <c r="M229" s="3" t="s">
        <v>1135</v>
      </c>
      <c r="N229" s="3" t="s">
        <v>1136</v>
      </c>
      <c r="O229" s="3" t="s">
        <v>1137</v>
      </c>
      <c r="P229" s="3" t="s">
        <v>25</v>
      </c>
      <c r="Q229" s="3" t="s">
        <v>4844</v>
      </c>
    </row>
    <row r="230" spans="1:17">
      <c r="A230" s="3">
        <v>624771</v>
      </c>
      <c r="B230" s="3" t="s">
        <v>1138</v>
      </c>
      <c r="C230" s="3" t="str">
        <f>"9781405185394"</f>
        <v>9781405185394</v>
      </c>
      <c r="D230" s="3" t="str">
        <f>"9781444392531"</f>
        <v>9781444392531</v>
      </c>
      <c r="E230" s="3" t="s">
        <v>32</v>
      </c>
      <c r="F230" s="3" t="s">
        <v>33</v>
      </c>
      <c r="G230" s="4">
        <v>40574</v>
      </c>
      <c r="H230" s="3" t="s">
        <v>20</v>
      </c>
      <c r="I230" s="3">
        <v>1</v>
      </c>
      <c r="J230" s="3"/>
      <c r="K230" s="3" t="s">
        <v>1139</v>
      </c>
      <c r="L230" s="3" t="s">
        <v>118</v>
      </c>
      <c r="M230" s="3" t="s">
        <v>1140</v>
      </c>
      <c r="N230" s="3" t="s">
        <v>1141</v>
      </c>
      <c r="O230" s="3" t="s">
        <v>1142</v>
      </c>
      <c r="P230" s="3" t="s">
        <v>25</v>
      </c>
      <c r="Q230" s="3" t="s">
        <v>4845</v>
      </c>
    </row>
    <row r="231" spans="1:17">
      <c r="A231" s="3">
        <v>631537</v>
      </c>
      <c r="B231" s="3" t="s">
        <v>1143</v>
      </c>
      <c r="C231" s="3" t="str">
        <f>"9780786433087"</f>
        <v>9780786433087</v>
      </c>
      <c r="D231" s="3" t="str">
        <f>"9780786462223"</f>
        <v>9780786462223</v>
      </c>
      <c r="E231" s="3" t="s">
        <v>828</v>
      </c>
      <c r="F231" s="3" t="s">
        <v>828</v>
      </c>
      <c r="G231" s="4">
        <v>40521</v>
      </c>
      <c r="H231" s="3" t="s">
        <v>20</v>
      </c>
      <c r="I231" s="3">
        <v>1</v>
      </c>
      <c r="J231" s="3"/>
      <c r="K231" s="3" t="s">
        <v>1144</v>
      </c>
      <c r="L231" s="3" t="s">
        <v>58</v>
      </c>
      <c r="M231" s="3" t="s">
        <v>1145</v>
      </c>
      <c r="N231" s="3" t="s">
        <v>1146</v>
      </c>
      <c r="O231" s="3" t="s">
        <v>1147</v>
      </c>
      <c r="P231" s="3" t="s">
        <v>25</v>
      </c>
      <c r="Q231" s="3" t="s">
        <v>4846</v>
      </c>
    </row>
    <row r="232" spans="1:17">
      <c r="A232" s="3">
        <v>634602</v>
      </c>
      <c r="B232" s="3" t="s">
        <v>1148</v>
      </c>
      <c r="C232" s="3" t="str">
        <f>"9781615354696"</f>
        <v>9781615354696</v>
      </c>
      <c r="D232" s="3" t="str">
        <f>"9781615354870"</f>
        <v>9781615354870</v>
      </c>
      <c r="E232" s="3" t="s">
        <v>359</v>
      </c>
      <c r="F232" s="3" t="s">
        <v>1149</v>
      </c>
      <c r="G232" s="4">
        <v>40544</v>
      </c>
      <c r="H232" s="3" t="s">
        <v>20</v>
      </c>
      <c r="I232" s="3">
        <v>2</v>
      </c>
      <c r="J232" s="3" t="s">
        <v>777</v>
      </c>
      <c r="K232" s="3" t="s">
        <v>1150</v>
      </c>
      <c r="L232" s="3" t="s">
        <v>1151</v>
      </c>
      <c r="M232" s="3" t="s">
        <v>1152</v>
      </c>
      <c r="N232" s="3">
        <v>629.4</v>
      </c>
      <c r="O232" s="3" t="s">
        <v>1153</v>
      </c>
      <c r="P232" s="3" t="s">
        <v>25</v>
      </c>
      <c r="Q232" s="3" t="s">
        <v>4847</v>
      </c>
    </row>
    <row r="233" spans="1:17">
      <c r="A233" s="3">
        <v>634607</v>
      </c>
      <c r="B233" s="3" t="s">
        <v>1154</v>
      </c>
      <c r="C233" s="3" t="str">
        <f>"9781615354542"</f>
        <v>9781615354542</v>
      </c>
      <c r="D233" s="3" t="str">
        <f>"9781615354559"</f>
        <v>9781615354559</v>
      </c>
      <c r="E233" s="3" t="s">
        <v>359</v>
      </c>
      <c r="F233" s="3" t="s">
        <v>360</v>
      </c>
      <c r="G233" s="4">
        <v>40544</v>
      </c>
      <c r="H233" s="3" t="s">
        <v>20</v>
      </c>
      <c r="I233" s="3">
        <v>1</v>
      </c>
      <c r="J233" s="3" t="s">
        <v>1155</v>
      </c>
      <c r="K233" s="3" t="s">
        <v>1156</v>
      </c>
      <c r="L233" s="3" t="s">
        <v>1157</v>
      </c>
      <c r="M233" s="3" t="s">
        <v>1158</v>
      </c>
      <c r="N233" s="3" t="s">
        <v>1159</v>
      </c>
      <c r="O233" s="3" t="s">
        <v>1160</v>
      </c>
      <c r="P233" s="3" t="s">
        <v>25</v>
      </c>
      <c r="Q233" s="3" t="s">
        <v>4848</v>
      </c>
    </row>
    <row r="234" spans="1:17">
      <c r="A234" s="3">
        <v>635132</v>
      </c>
      <c r="B234" s="3" t="s">
        <v>1161</v>
      </c>
      <c r="C234" s="3" t="str">
        <f>"9789004180048"</f>
        <v>9789004180048</v>
      </c>
      <c r="D234" s="3" t="str">
        <f>"9789047444541"</f>
        <v>9789047444541</v>
      </c>
      <c r="E234" s="3" t="s">
        <v>611</v>
      </c>
      <c r="F234" s="3" t="s">
        <v>611</v>
      </c>
      <c r="G234" s="4">
        <v>40154</v>
      </c>
      <c r="H234" s="3" t="s">
        <v>20</v>
      </c>
      <c r="I234" s="3">
        <v>2</v>
      </c>
      <c r="J234" s="3"/>
      <c r="K234" s="3" t="s">
        <v>1162</v>
      </c>
      <c r="L234" s="3" t="s">
        <v>354</v>
      </c>
      <c r="M234" s="3" t="s">
        <v>1163</v>
      </c>
      <c r="N234" s="3" t="s">
        <v>1164</v>
      </c>
      <c r="O234" s="3" t="s">
        <v>1165</v>
      </c>
      <c r="P234" s="3" t="s">
        <v>25</v>
      </c>
      <c r="Q234" s="3" t="s">
        <v>4849</v>
      </c>
    </row>
    <row r="235" spans="1:17">
      <c r="A235" s="3">
        <v>644974</v>
      </c>
      <c r="B235" s="3" t="s">
        <v>1166</v>
      </c>
      <c r="C235" s="3" t="str">
        <f>"9780470742907"</f>
        <v>9780470742907</v>
      </c>
      <c r="D235" s="3" t="str">
        <f>"9781119996521"</f>
        <v>9781119996521</v>
      </c>
      <c r="E235" s="3" t="s">
        <v>32</v>
      </c>
      <c r="F235" s="3" t="s">
        <v>491</v>
      </c>
      <c r="G235" s="4">
        <v>40932</v>
      </c>
      <c r="H235" s="3" t="s">
        <v>20</v>
      </c>
      <c r="I235" s="3">
        <v>1</v>
      </c>
      <c r="J235" s="3" t="s">
        <v>491</v>
      </c>
      <c r="K235" s="3" t="s">
        <v>1167</v>
      </c>
      <c r="L235" s="3" t="s">
        <v>22</v>
      </c>
      <c r="M235" s="3" t="s">
        <v>1168</v>
      </c>
      <c r="N235" s="3">
        <v>808.06637799999999</v>
      </c>
      <c r="O235" s="3" t="s">
        <v>1169</v>
      </c>
      <c r="P235" s="3" t="s">
        <v>25</v>
      </c>
      <c r="Q235" s="3" t="s">
        <v>4850</v>
      </c>
    </row>
    <row r="236" spans="1:17">
      <c r="A236" s="3">
        <v>644988</v>
      </c>
      <c r="B236" s="3" t="s">
        <v>1170</v>
      </c>
      <c r="C236" s="3" t="str">
        <f>"9781119025504"</f>
        <v>9781119025504</v>
      </c>
      <c r="D236" s="3" t="str">
        <f>"9781444393699"</f>
        <v>9781444393699</v>
      </c>
      <c r="E236" s="3" t="s">
        <v>32</v>
      </c>
      <c r="F236" s="3" t="s">
        <v>33</v>
      </c>
      <c r="G236" s="4">
        <v>40602</v>
      </c>
      <c r="H236" s="3" t="s">
        <v>20</v>
      </c>
      <c r="I236" s="3">
        <v>1</v>
      </c>
      <c r="J236" s="3" t="s">
        <v>111</v>
      </c>
      <c r="K236" s="3" t="s">
        <v>1171</v>
      </c>
      <c r="L236" s="3" t="s">
        <v>58</v>
      </c>
      <c r="M236" s="3" t="s">
        <v>1172</v>
      </c>
      <c r="N236" s="3">
        <v>937</v>
      </c>
      <c r="O236" s="3" t="s">
        <v>1173</v>
      </c>
      <c r="P236" s="3" t="s">
        <v>25</v>
      </c>
      <c r="Q236" s="3" t="s">
        <v>4851</v>
      </c>
    </row>
    <row r="237" spans="1:17">
      <c r="A237" s="3">
        <v>647399</v>
      </c>
      <c r="B237" s="3" t="s">
        <v>1174</v>
      </c>
      <c r="C237" s="3" t="str">
        <f>"9780521747622"</f>
        <v>9780521747622</v>
      </c>
      <c r="D237" s="3" t="str">
        <f>"9780511994630"</f>
        <v>9780511994630</v>
      </c>
      <c r="E237" s="3" t="s">
        <v>41</v>
      </c>
      <c r="F237" s="3" t="s">
        <v>41</v>
      </c>
      <c r="G237" s="4">
        <v>40136</v>
      </c>
      <c r="H237" s="3" t="s">
        <v>20</v>
      </c>
      <c r="I237" s="3"/>
      <c r="J237" s="3"/>
      <c r="K237" s="3" t="s">
        <v>1175</v>
      </c>
      <c r="L237" s="3" t="s">
        <v>204</v>
      </c>
      <c r="M237" s="3" t="s">
        <v>1176</v>
      </c>
      <c r="N237" s="3">
        <v>616.07569999999998</v>
      </c>
      <c r="O237" s="3" t="s">
        <v>1177</v>
      </c>
      <c r="P237" s="3" t="s">
        <v>25</v>
      </c>
      <c r="Q237" s="3" t="s">
        <v>4852</v>
      </c>
    </row>
    <row r="238" spans="1:17">
      <c r="A238" s="3">
        <v>661481</v>
      </c>
      <c r="B238" s="3" t="s">
        <v>1178</v>
      </c>
      <c r="C238" s="3" t="str">
        <f>"9780470888506"</f>
        <v>9780470888506</v>
      </c>
      <c r="D238" s="3" t="str">
        <f>"9781118009932"</f>
        <v>9781118009932</v>
      </c>
      <c r="E238" s="3" t="s">
        <v>32</v>
      </c>
      <c r="F238" s="3" t="s">
        <v>32</v>
      </c>
      <c r="G238" s="4">
        <v>40610</v>
      </c>
      <c r="H238" s="3" t="s">
        <v>20</v>
      </c>
      <c r="I238" s="3">
        <v>2</v>
      </c>
      <c r="J238" s="3" t="s">
        <v>1179</v>
      </c>
      <c r="K238" s="3" t="s">
        <v>1180</v>
      </c>
      <c r="L238" s="3" t="s">
        <v>354</v>
      </c>
      <c r="M238" s="3" t="s">
        <v>1181</v>
      </c>
      <c r="N238" s="3" t="s">
        <v>1182</v>
      </c>
      <c r="O238" s="3" t="s">
        <v>1183</v>
      </c>
      <c r="P238" s="3" t="s">
        <v>25</v>
      </c>
      <c r="Q238" s="3" t="s">
        <v>4853</v>
      </c>
    </row>
    <row r="239" spans="1:17">
      <c r="A239" s="3">
        <v>661568</v>
      </c>
      <c r="B239" s="3" t="s">
        <v>1184</v>
      </c>
      <c r="C239" s="3" t="str">
        <f>"9780470635186"</f>
        <v>9780470635186</v>
      </c>
      <c r="D239" s="3" t="str">
        <f>"9780470940150"</f>
        <v>9780470940150</v>
      </c>
      <c r="E239" s="3" t="s">
        <v>32</v>
      </c>
      <c r="F239" s="3" t="s">
        <v>32</v>
      </c>
      <c r="G239" s="4">
        <v>40582</v>
      </c>
      <c r="H239" s="3" t="s">
        <v>20</v>
      </c>
      <c r="I239" s="3">
        <v>1</v>
      </c>
      <c r="J239" s="3" t="s">
        <v>1185</v>
      </c>
      <c r="K239" s="3" t="s">
        <v>1186</v>
      </c>
      <c r="L239" s="3" t="s">
        <v>1187</v>
      </c>
      <c r="M239" s="3" t="s">
        <v>1188</v>
      </c>
      <c r="N239" s="3">
        <v>692</v>
      </c>
      <c r="O239" s="3" t="s">
        <v>1189</v>
      </c>
      <c r="P239" s="3" t="s">
        <v>25</v>
      </c>
      <c r="Q239" s="3" t="s">
        <v>4854</v>
      </c>
    </row>
    <row r="240" spans="1:17">
      <c r="A240" s="3">
        <v>661610</v>
      </c>
      <c r="B240" s="3" t="s">
        <v>1190</v>
      </c>
      <c r="C240" s="3" t="str">
        <f>"9780470531075"</f>
        <v>9780470531075</v>
      </c>
      <c r="D240" s="3" t="str">
        <f>"9781118000915"</f>
        <v>9781118000915</v>
      </c>
      <c r="E240" s="3" t="s">
        <v>32</v>
      </c>
      <c r="F240" s="3" t="s">
        <v>530</v>
      </c>
      <c r="G240" s="4">
        <v>40610</v>
      </c>
      <c r="H240" s="3" t="s">
        <v>20</v>
      </c>
      <c r="I240" s="3">
        <v>2</v>
      </c>
      <c r="J240" s="3"/>
      <c r="K240" s="3" t="s">
        <v>1191</v>
      </c>
      <c r="L240" s="3" t="s">
        <v>532</v>
      </c>
      <c r="M240" s="3" t="s">
        <v>1192</v>
      </c>
      <c r="N240" s="3" t="s">
        <v>1193</v>
      </c>
      <c r="O240" s="3" t="s">
        <v>1194</v>
      </c>
      <c r="P240" s="3" t="s">
        <v>25</v>
      </c>
      <c r="Q240" s="3" t="s">
        <v>4855</v>
      </c>
    </row>
    <row r="241" spans="1:17">
      <c r="A241" s="3">
        <v>661758</v>
      </c>
      <c r="B241" s="3" t="s">
        <v>1195</v>
      </c>
      <c r="C241" s="3" t="str">
        <f>"9780470994689"</f>
        <v>9780470994689</v>
      </c>
      <c r="D241" s="3" t="str">
        <f>"9780470740682"</f>
        <v>9780470740682</v>
      </c>
      <c r="E241" s="3" t="s">
        <v>32</v>
      </c>
      <c r="F241" s="3" t="s">
        <v>491</v>
      </c>
      <c r="G241" s="4">
        <v>39784</v>
      </c>
      <c r="H241" s="3" t="s">
        <v>20</v>
      </c>
      <c r="I241" s="3">
        <v>1</v>
      </c>
      <c r="J241" s="3" t="s">
        <v>850</v>
      </c>
      <c r="K241" s="3" t="s">
        <v>1196</v>
      </c>
      <c r="L241" s="3" t="s">
        <v>58</v>
      </c>
      <c r="M241" s="3" t="s">
        <v>1197</v>
      </c>
      <c r="N241" s="3">
        <v>941</v>
      </c>
      <c r="O241" s="3" t="s">
        <v>1198</v>
      </c>
      <c r="P241" s="3" t="s">
        <v>25</v>
      </c>
      <c r="Q241" s="3" t="s">
        <v>4856</v>
      </c>
    </row>
    <row r="242" spans="1:17">
      <c r="A242" s="3">
        <v>661767</v>
      </c>
      <c r="B242" s="3" t="s">
        <v>1199</v>
      </c>
      <c r="C242" s="3" t="str">
        <f>"9781444331806"</f>
        <v>9781444331806</v>
      </c>
      <c r="D242" s="3" t="str">
        <f>"9781444390575"</f>
        <v>9781444390575</v>
      </c>
      <c r="E242" s="3" t="s">
        <v>32</v>
      </c>
      <c r="F242" s="3" t="s">
        <v>33</v>
      </c>
      <c r="G242" s="4">
        <v>40602</v>
      </c>
      <c r="H242" s="3" t="s">
        <v>20</v>
      </c>
      <c r="I242" s="3">
        <v>1</v>
      </c>
      <c r="J242" s="3" t="s">
        <v>860</v>
      </c>
      <c r="K242" s="3" t="s">
        <v>1200</v>
      </c>
      <c r="L242" s="3" t="s">
        <v>64</v>
      </c>
      <c r="M242" s="3" t="s">
        <v>1201</v>
      </c>
      <c r="N242" s="3">
        <v>301.09539999999998</v>
      </c>
      <c r="O242" s="3" t="s">
        <v>1202</v>
      </c>
      <c r="P242" s="3" t="s">
        <v>25</v>
      </c>
      <c r="Q242" s="3" t="s">
        <v>4857</v>
      </c>
    </row>
    <row r="243" spans="1:17">
      <c r="A243" s="3">
        <v>661774</v>
      </c>
      <c r="B243" s="3" t="s">
        <v>1203</v>
      </c>
      <c r="C243" s="3" t="str">
        <f>"9781119108917"</f>
        <v>9781119108917</v>
      </c>
      <c r="D243" s="3" t="str">
        <f>"9781444393422"</f>
        <v>9781444393422</v>
      </c>
      <c r="E243" s="3" t="s">
        <v>32</v>
      </c>
      <c r="F243" s="3" t="s">
        <v>33</v>
      </c>
      <c r="G243" s="4">
        <v>40609</v>
      </c>
      <c r="H243" s="3" t="s">
        <v>20</v>
      </c>
      <c r="I243" s="3">
        <v>1</v>
      </c>
      <c r="J243" s="3" t="s">
        <v>502</v>
      </c>
      <c r="K243" s="3" t="s">
        <v>1204</v>
      </c>
      <c r="L243" s="3" t="s">
        <v>1205</v>
      </c>
      <c r="M243" s="3" t="s">
        <v>1206</v>
      </c>
      <c r="N243" s="3">
        <v>306.44089609999997</v>
      </c>
      <c r="O243" s="3" t="s">
        <v>1207</v>
      </c>
      <c r="P243" s="3" t="s">
        <v>25</v>
      </c>
      <c r="Q243" s="3" t="s">
        <v>4858</v>
      </c>
    </row>
    <row r="244" spans="1:17">
      <c r="A244" s="3">
        <v>665222</v>
      </c>
      <c r="B244" s="3" t="s">
        <v>1208</v>
      </c>
      <c r="C244" s="3" t="str">
        <f>"9780786444649"</f>
        <v>9780786444649</v>
      </c>
      <c r="D244" s="3" t="str">
        <f>"9780786456123"</f>
        <v>9780786456123</v>
      </c>
      <c r="E244" s="3" t="s">
        <v>828</v>
      </c>
      <c r="F244" s="3" t="s">
        <v>828</v>
      </c>
      <c r="G244" s="4">
        <v>40436</v>
      </c>
      <c r="H244" s="3" t="s">
        <v>20</v>
      </c>
      <c r="I244" s="3">
        <v>1</v>
      </c>
      <c r="J244" s="3"/>
      <c r="K244" s="3" t="s">
        <v>1209</v>
      </c>
      <c r="L244" s="3" t="s">
        <v>58</v>
      </c>
      <c r="M244" s="3" t="s">
        <v>1210</v>
      </c>
      <c r="N244" s="3">
        <v>973.7</v>
      </c>
      <c r="O244" s="3" t="s">
        <v>1211</v>
      </c>
      <c r="P244" s="3" t="s">
        <v>25</v>
      </c>
      <c r="Q244" s="3" t="s">
        <v>4859</v>
      </c>
    </row>
    <row r="245" spans="1:17">
      <c r="A245" s="3">
        <v>665230</v>
      </c>
      <c r="B245" s="3" t="s">
        <v>1212</v>
      </c>
      <c r="C245" s="3" t="str">
        <f>"9780786444205"</f>
        <v>9780786444205</v>
      </c>
      <c r="D245" s="3" t="str">
        <f>"9780786458240"</f>
        <v>9780786458240</v>
      </c>
      <c r="E245" s="3" t="s">
        <v>828</v>
      </c>
      <c r="F245" s="3" t="s">
        <v>828</v>
      </c>
      <c r="G245" s="4">
        <v>40480</v>
      </c>
      <c r="H245" s="3" t="s">
        <v>20</v>
      </c>
      <c r="I245" s="3">
        <v>1</v>
      </c>
      <c r="J245" s="3"/>
      <c r="K245" s="3" t="s">
        <v>1213</v>
      </c>
      <c r="L245" s="3" t="s">
        <v>58</v>
      </c>
      <c r="M245" s="3" t="s">
        <v>1214</v>
      </c>
      <c r="N245" s="3">
        <v>942.01400000000001</v>
      </c>
      <c r="O245" s="3" t="s">
        <v>1215</v>
      </c>
      <c r="P245" s="3" t="s">
        <v>25</v>
      </c>
      <c r="Q245" s="3" t="s">
        <v>4860</v>
      </c>
    </row>
    <row r="246" spans="1:17">
      <c r="A246" s="3">
        <v>665243</v>
      </c>
      <c r="B246" s="3" t="s">
        <v>1216</v>
      </c>
      <c r="C246" s="3" t="str">
        <f>"9780786461264"</f>
        <v>9780786461264</v>
      </c>
      <c r="D246" s="3" t="str">
        <f>"9780786462292"</f>
        <v>9780786462292</v>
      </c>
      <c r="E246" s="3" t="s">
        <v>828</v>
      </c>
      <c r="F246" s="3" t="s">
        <v>828</v>
      </c>
      <c r="G246" s="4">
        <v>40529</v>
      </c>
      <c r="H246" s="3" t="s">
        <v>20</v>
      </c>
      <c r="I246" s="3">
        <v>1</v>
      </c>
      <c r="J246" s="3"/>
      <c r="K246" s="3" t="s">
        <v>888</v>
      </c>
      <c r="L246" s="3" t="s">
        <v>64</v>
      </c>
      <c r="M246" s="3" t="s">
        <v>1217</v>
      </c>
      <c r="N246" s="3">
        <v>364.660978</v>
      </c>
      <c r="O246" s="3" t="s">
        <v>1218</v>
      </c>
      <c r="P246" s="3" t="s">
        <v>25</v>
      </c>
      <c r="Q246" s="3" t="s">
        <v>4861</v>
      </c>
    </row>
    <row r="247" spans="1:17">
      <c r="A247" s="3">
        <v>665412</v>
      </c>
      <c r="B247" s="3" t="s">
        <v>1219</v>
      </c>
      <c r="C247" s="3" t="str">
        <f>"9780195189810"</f>
        <v>9780195189810</v>
      </c>
      <c r="D247" s="3" t="str">
        <f>"9780199838875"</f>
        <v>9780199838875</v>
      </c>
      <c r="E247" s="3" t="s">
        <v>910</v>
      </c>
      <c r="F247" s="3" t="s">
        <v>910</v>
      </c>
      <c r="G247" s="4">
        <v>39037</v>
      </c>
      <c r="H247" s="3" t="s">
        <v>20</v>
      </c>
      <c r="I247" s="3">
        <v>2</v>
      </c>
      <c r="J247" s="3"/>
      <c r="K247" s="3" t="s">
        <v>1220</v>
      </c>
      <c r="L247" s="3" t="s">
        <v>182</v>
      </c>
      <c r="M247" s="3" t="s">
        <v>1221</v>
      </c>
      <c r="N247" s="3">
        <v>181</v>
      </c>
      <c r="O247" s="3" t="s">
        <v>1222</v>
      </c>
      <c r="P247" s="3" t="s">
        <v>25</v>
      </c>
      <c r="Q247" s="3" t="s">
        <v>4862</v>
      </c>
    </row>
    <row r="248" spans="1:17">
      <c r="A248" s="3">
        <v>665444</v>
      </c>
      <c r="B248" s="3" t="s">
        <v>1223</v>
      </c>
      <c r="C248" s="3" t="str">
        <f>"9780195393194"</f>
        <v>9780195393194</v>
      </c>
      <c r="D248" s="3" t="str">
        <f>"9780199813605"</f>
        <v>9780199813605</v>
      </c>
      <c r="E248" s="3" t="s">
        <v>910</v>
      </c>
      <c r="F248" s="3" t="s">
        <v>910</v>
      </c>
      <c r="G248" s="4">
        <v>40651</v>
      </c>
      <c r="H248" s="3" t="s">
        <v>20</v>
      </c>
      <c r="I248" s="3"/>
      <c r="J248" s="3"/>
      <c r="K248" s="3" t="s">
        <v>1224</v>
      </c>
      <c r="L248" s="3" t="s">
        <v>204</v>
      </c>
      <c r="M248" s="3" t="s">
        <v>1225</v>
      </c>
      <c r="N248" s="3">
        <v>616.99432999999999</v>
      </c>
      <c r="O248" s="3" t="s">
        <v>1226</v>
      </c>
      <c r="P248" s="3" t="s">
        <v>25</v>
      </c>
      <c r="Q248" s="3" t="s">
        <v>4863</v>
      </c>
    </row>
    <row r="249" spans="1:17">
      <c r="A249" s="3">
        <v>667634</v>
      </c>
      <c r="B249" s="3" t="s">
        <v>1227</v>
      </c>
      <c r="C249" s="3" t="str">
        <f>"9780521820967"</f>
        <v>9780521820967</v>
      </c>
      <c r="D249" s="3" t="str">
        <f>"9781139007924"</f>
        <v>9781139007924</v>
      </c>
      <c r="E249" s="3" t="s">
        <v>41</v>
      </c>
      <c r="F249" s="3" t="s">
        <v>41</v>
      </c>
      <c r="G249" s="4">
        <v>40441</v>
      </c>
      <c r="H249" s="3" t="s">
        <v>20</v>
      </c>
      <c r="I249" s="3"/>
      <c r="J249" s="3"/>
      <c r="K249" s="3" t="s">
        <v>1228</v>
      </c>
      <c r="L249" s="3" t="s">
        <v>118</v>
      </c>
      <c r="M249" s="3" t="s">
        <v>1229</v>
      </c>
      <c r="N249" s="3">
        <v>230.00299999999999</v>
      </c>
      <c r="O249" s="3" t="s">
        <v>1230</v>
      </c>
      <c r="P249" s="3" t="s">
        <v>25</v>
      </c>
      <c r="Q249" s="3" t="s">
        <v>4864</v>
      </c>
    </row>
    <row r="250" spans="1:17">
      <c r="A250" s="3">
        <v>675171</v>
      </c>
      <c r="B250" s="3" t="s">
        <v>1231</v>
      </c>
      <c r="C250" s="3" t="str">
        <f>"9781405189774"</f>
        <v>9781405189774</v>
      </c>
      <c r="D250" s="3" t="str">
        <f>"9781444395198"</f>
        <v>9781444395198</v>
      </c>
      <c r="E250" s="3" t="s">
        <v>32</v>
      </c>
      <c r="F250" s="3" t="s">
        <v>33</v>
      </c>
      <c r="G250" s="4">
        <v>40669</v>
      </c>
      <c r="H250" s="3" t="s">
        <v>20</v>
      </c>
      <c r="I250" s="3">
        <v>1</v>
      </c>
      <c r="J250" s="3" t="s">
        <v>1232</v>
      </c>
      <c r="K250" s="3" t="s">
        <v>1233</v>
      </c>
      <c r="L250" s="3" t="s">
        <v>1234</v>
      </c>
      <c r="M250" s="3" t="s">
        <v>1235</v>
      </c>
      <c r="N250" s="3">
        <v>304.2</v>
      </c>
      <c r="O250" s="3" t="s">
        <v>1236</v>
      </c>
      <c r="P250" s="3" t="s">
        <v>25</v>
      </c>
      <c r="Q250" s="3" t="s">
        <v>4865</v>
      </c>
    </row>
    <row r="251" spans="1:17">
      <c r="A251" s="3">
        <v>675172</v>
      </c>
      <c r="B251" s="3" t="s">
        <v>1237</v>
      </c>
      <c r="C251" s="3" t="str">
        <f>"9781405187787"</f>
        <v>9781405187787</v>
      </c>
      <c r="D251" s="3" t="str">
        <f>"9781444394917"</f>
        <v>9781444394917</v>
      </c>
      <c r="E251" s="3" t="s">
        <v>32</v>
      </c>
      <c r="F251" s="3" t="s">
        <v>33</v>
      </c>
      <c r="G251" s="4">
        <v>40658</v>
      </c>
      <c r="H251" s="3" t="s">
        <v>20</v>
      </c>
      <c r="I251" s="3">
        <v>1</v>
      </c>
      <c r="J251" s="3" t="s">
        <v>860</v>
      </c>
      <c r="K251" s="3" t="s">
        <v>1238</v>
      </c>
      <c r="L251" s="3" t="s">
        <v>74</v>
      </c>
      <c r="M251" s="3" t="s">
        <v>1239</v>
      </c>
      <c r="N251" s="3">
        <v>153</v>
      </c>
      <c r="O251" s="3" t="s">
        <v>1240</v>
      </c>
      <c r="P251" s="3" t="s">
        <v>25</v>
      </c>
      <c r="Q251" s="3" t="s">
        <v>4866</v>
      </c>
    </row>
    <row r="252" spans="1:17">
      <c r="A252" s="3">
        <v>675178</v>
      </c>
      <c r="B252" s="3" t="s">
        <v>1241</v>
      </c>
      <c r="C252" s="3" t="str">
        <f>"9781444334388"</f>
        <v>9781444334388</v>
      </c>
      <c r="D252" s="3" t="str">
        <f>"9781444343106"</f>
        <v>9781444343106</v>
      </c>
      <c r="E252" s="3" t="s">
        <v>32</v>
      </c>
      <c r="F252" s="3" t="s">
        <v>33</v>
      </c>
      <c r="G252" s="4">
        <v>40651</v>
      </c>
      <c r="H252" s="3" t="s">
        <v>20</v>
      </c>
      <c r="I252" s="3">
        <v>1</v>
      </c>
      <c r="J252" s="3" t="s">
        <v>1242</v>
      </c>
      <c r="K252" s="3" t="s">
        <v>1243</v>
      </c>
      <c r="L252" s="3" t="s">
        <v>514</v>
      </c>
      <c r="M252" s="3" t="s">
        <v>1244</v>
      </c>
      <c r="N252" s="3">
        <v>155.22</v>
      </c>
      <c r="O252" s="3" t="s">
        <v>1245</v>
      </c>
      <c r="P252" s="3" t="s">
        <v>25</v>
      </c>
      <c r="Q252" s="3" t="s">
        <v>4867</v>
      </c>
    </row>
    <row r="253" spans="1:17">
      <c r="A253" s="3">
        <v>675180</v>
      </c>
      <c r="B253" s="3" t="s">
        <v>1246</v>
      </c>
      <c r="C253" s="3" t="str">
        <f>"9781405193313"</f>
        <v>9781405193313</v>
      </c>
      <c r="D253" s="3" t="str">
        <f>"9781444395136"</f>
        <v>9781444395136</v>
      </c>
      <c r="E253" s="3" t="s">
        <v>32</v>
      </c>
      <c r="F253" s="3" t="s">
        <v>33</v>
      </c>
      <c r="G253" s="4">
        <v>40665</v>
      </c>
      <c r="H253" s="3" t="s">
        <v>20</v>
      </c>
      <c r="I253" s="3">
        <v>1</v>
      </c>
      <c r="J253" s="3"/>
      <c r="K253" s="3" t="s">
        <v>1247</v>
      </c>
      <c r="L253" s="3" t="s">
        <v>514</v>
      </c>
      <c r="M253" s="3" t="s">
        <v>1248</v>
      </c>
      <c r="N253" s="3">
        <v>158</v>
      </c>
      <c r="O253" s="3" t="s">
        <v>1249</v>
      </c>
      <c r="P253" s="3" t="s">
        <v>25</v>
      </c>
      <c r="Q253" s="3" t="s">
        <v>4868</v>
      </c>
    </row>
    <row r="254" spans="1:17">
      <c r="A254" s="3">
        <v>675202</v>
      </c>
      <c r="B254" s="3" t="s">
        <v>1250</v>
      </c>
      <c r="C254" s="3" t="str">
        <f>"9781405189897"</f>
        <v>9781405189897</v>
      </c>
      <c r="D254" s="3" t="str">
        <f>"9781444395815"</f>
        <v>9781444395815</v>
      </c>
      <c r="E254" s="3" t="s">
        <v>32</v>
      </c>
      <c r="F254" s="3" t="s">
        <v>33</v>
      </c>
      <c r="G254" s="4">
        <v>40665</v>
      </c>
      <c r="H254" s="3" t="s">
        <v>20</v>
      </c>
      <c r="I254" s="3">
        <v>1</v>
      </c>
      <c r="J254" s="3" t="s">
        <v>1232</v>
      </c>
      <c r="K254" s="3" t="s">
        <v>1251</v>
      </c>
      <c r="L254" s="3" t="s">
        <v>1252</v>
      </c>
      <c r="M254" s="3" t="s">
        <v>1253</v>
      </c>
      <c r="N254" s="3">
        <v>304.2</v>
      </c>
      <c r="O254" s="3" t="s">
        <v>1254</v>
      </c>
      <c r="P254" s="3" t="s">
        <v>25</v>
      </c>
      <c r="Q254" s="3" t="s">
        <v>4869</v>
      </c>
    </row>
    <row r="255" spans="1:17">
      <c r="A255" s="3">
        <v>675233</v>
      </c>
      <c r="B255" s="3" t="s">
        <v>1255</v>
      </c>
      <c r="C255" s="3" t="str">
        <f>"9781444331349"</f>
        <v>9781444331349</v>
      </c>
      <c r="D255" s="3" t="str">
        <f>"9781444396669"</f>
        <v>9781444396669</v>
      </c>
      <c r="E255" s="3" t="s">
        <v>32</v>
      </c>
      <c r="F255" s="3" t="s">
        <v>33</v>
      </c>
      <c r="G255" s="4">
        <v>40701</v>
      </c>
      <c r="H255" s="3" t="s">
        <v>20</v>
      </c>
      <c r="I255" s="3">
        <v>2</v>
      </c>
      <c r="J255" s="3" t="s">
        <v>1256</v>
      </c>
      <c r="K255" s="3" t="s">
        <v>1257</v>
      </c>
      <c r="L255" s="3" t="s">
        <v>1258</v>
      </c>
      <c r="M255" s="3" t="s">
        <v>1259</v>
      </c>
      <c r="N255" s="3">
        <v>241</v>
      </c>
      <c r="O255" s="3" t="s">
        <v>1260</v>
      </c>
      <c r="P255" s="3" t="s">
        <v>25</v>
      </c>
      <c r="Q255" s="3" t="s">
        <v>4870</v>
      </c>
    </row>
    <row r="256" spans="1:17">
      <c r="A256" s="3">
        <v>675245</v>
      </c>
      <c r="B256" s="3" t="s">
        <v>1261</v>
      </c>
      <c r="C256" s="3" t="str">
        <f>"9780470882559"</f>
        <v>9780470882559</v>
      </c>
      <c r="D256" s="3" t="str">
        <f>"9781118019412"</f>
        <v>9781118019412</v>
      </c>
      <c r="E256" s="3" t="s">
        <v>32</v>
      </c>
      <c r="F256" s="3" t="s">
        <v>32</v>
      </c>
      <c r="G256" s="4">
        <v>40659</v>
      </c>
      <c r="H256" s="3" t="s">
        <v>20</v>
      </c>
      <c r="I256" s="3">
        <v>1</v>
      </c>
      <c r="J256" s="3"/>
      <c r="K256" s="3" t="s">
        <v>1262</v>
      </c>
      <c r="L256" s="3" t="s">
        <v>36</v>
      </c>
      <c r="M256" s="3" t="s">
        <v>1263</v>
      </c>
      <c r="N256" s="3">
        <v>657.2</v>
      </c>
      <c r="O256" s="3" t="s">
        <v>1264</v>
      </c>
      <c r="P256" s="3" t="s">
        <v>25</v>
      </c>
      <c r="Q256" s="3" t="s">
        <v>4871</v>
      </c>
    </row>
    <row r="257" spans="1:17">
      <c r="A257" s="3">
        <v>677214</v>
      </c>
      <c r="B257" s="3" t="s">
        <v>1265</v>
      </c>
      <c r="C257" s="3" t="str">
        <f>"9789622099524"</f>
        <v>9789622099524</v>
      </c>
      <c r="D257" s="3" t="str">
        <f>"9789888052028"</f>
        <v>9789888052028</v>
      </c>
      <c r="E257" s="3" t="s">
        <v>1266</v>
      </c>
      <c r="F257" s="3" t="s">
        <v>1266</v>
      </c>
      <c r="G257" s="4">
        <v>39653</v>
      </c>
      <c r="H257" s="3" t="s">
        <v>20</v>
      </c>
      <c r="I257" s="3">
        <v>4</v>
      </c>
      <c r="J257" s="3"/>
      <c r="K257" s="3" t="s">
        <v>1267</v>
      </c>
      <c r="L257" s="3" t="s">
        <v>204</v>
      </c>
      <c r="M257" s="3" t="s">
        <v>1268</v>
      </c>
      <c r="N257" s="3">
        <v>610.14</v>
      </c>
      <c r="O257" s="3" t="s">
        <v>1269</v>
      </c>
      <c r="P257" s="3" t="s">
        <v>25</v>
      </c>
      <c r="Q257" s="3" t="s">
        <v>4872</v>
      </c>
    </row>
    <row r="258" spans="1:17">
      <c r="A258" s="3">
        <v>679300</v>
      </c>
      <c r="B258" s="3" t="s">
        <v>1270</v>
      </c>
      <c r="C258" s="3" t="str">
        <f>"9780786447855"</f>
        <v>9780786447855</v>
      </c>
      <c r="D258" s="3" t="str">
        <f>"9780786484829"</f>
        <v>9780786484829</v>
      </c>
      <c r="E258" s="3" t="s">
        <v>828</v>
      </c>
      <c r="F258" s="3" t="s">
        <v>828</v>
      </c>
      <c r="G258" s="4">
        <v>40604</v>
      </c>
      <c r="H258" s="3" t="s">
        <v>20</v>
      </c>
      <c r="I258" s="3">
        <v>1</v>
      </c>
      <c r="J258" s="3"/>
      <c r="K258" s="3" t="s">
        <v>1271</v>
      </c>
      <c r="L258" s="3" t="s">
        <v>816</v>
      </c>
      <c r="M258" s="3" t="s">
        <v>1272</v>
      </c>
      <c r="N258" s="3" t="s">
        <v>1273</v>
      </c>
      <c r="O258" s="3" t="s">
        <v>1274</v>
      </c>
      <c r="P258" s="3" t="s">
        <v>25</v>
      </c>
      <c r="Q258" s="3" t="s">
        <v>4873</v>
      </c>
    </row>
    <row r="259" spans="1:17">
      <c r="A259" s="3">
        <v>679420</v>
      </c>
      <c r="B259" s="3" t="s">
        <v>1275</v>
      </c>
      <c r="C259" s="3" t="str">
        <f>"9780195179422"</f>
        <v>9780195179422</v>
      </c>
      <c r="D259" s="3" t="str">
        <f>"9780199720712"</f>
        <v>9780199720712</v>
      </c>
      <c r="E259" s="3" t="s">
        <v>910</v>
      </c>
      <c r="F259" s="3" t="s">
        <v>910</v>
      </c>
      <c r="G259" s="4">
        <v>40658</v>
      </c>
      <c r="H259" s="3" t="s">
        <v>20</v>
      </c>
      <c r="I259" s="3"/>
      <c r="J259" s="3"/>
      <c r="K259" s="3" t="s">
        <v>1276</v>
      </c>
      <c r="L259" s="3" t="s">
        <v>225</v>
      </c>
      <c r="M259" s="3" t="s">
        <v>1277</v>
      </c>
      <c r="N259" s="3">
        <v>306.36209200000002</v>
      </c>
      <c r="O259" s="3" t="s">
        <v>1278</v>
      </c>
      <c r="P259" s="3" t="s">
        <v>25</v>
      </c>
      <c r="Q259" s="3" t="s">
        <v>4874</v>
      </c>
    </row>
    <row r="260" spans="1:17">
      <c r="A260" s="3">
        <v>684624</v>
      </c>
      <c r="B260" s="3" t="s">
        <v>1279</v>
      </c>
      <c r="C260" s="3" t="str">
        <f>"9780195093872"</f>
        <v>9780195093872</v>
      </c>
      <c r="D260" s="3" t="str">
        <f>"9780199774661"</f>
        <v>9780199774661</v>
      </c>
      <c r="E260" s="3" t="s">
        <v>910</v>
      </c>
      <c r="F260" s="3" t="s">
        <v>910</v>
      </c>
      <c r="G260" s="4">
        <v>34753</v>
      </c>
      <c r="H260" s="3" t="s">
        <v>20</v>
      </c>
      <c r="I260" s="3"/>
      <c r="J260" s="3"/>
      <c r="K260" s="3" t="s">
        <v>1280</v>
      </c>
      <c r="L260" s="3" t="s">
        <v>354</v>
      </c>
      <c r="M260" s="3" t="s">
        <v>1281</v>
      </c>
      <c r="N260" s="3" t="s">
        <v>1282</v>
      </c>
      <c r="O260" s="3" t="s">
        <v>1283</v>
      </c>
      <c r="P260" s="3" t="s">
        <v>25</v>
      </c>
      <c r="Q260" s="3" t="s">
        <v>4875</v>
      </c>
    </row>
    <row r="261" spans="1:17">
      <c r="A261" s="3">
        <v>687000</v>
      </c>
      <c r="B261" s="3" t="s">
        <v>1284</v>
      </c>
      <c r="C261" s="3" t="str">
        <f>"9780786459759"</f>
        <v>9780786459759</v>
      </c>
      <c r="D261" s="3" t="str">
        <f>"9780786462155"</f>
        <v>9780786462155</v>
      </c>
      <c r="E261" s="3" t="s">
        <v>828</v>
      </c>
      <c r="F261" s="3" t="s">
        <v>828</v>
      </c>
      <c r="G261" s="4">
        <v>40630</v>
      </c>
      <c r="H261" s="3" t="s">
        <v>20</v>
      </c>
      <c r="I261" s="3">
        <v>1</v>
      </c>
      <c r="J261" s="3"/>
      <c r="K261" s="3" t="s">
        <v>1285</v>
      </c>
      <c r="L261" s="3" t="s">
        <v>64</v>
      </c>
      <c r="M261" s="3" t="s">
        <v>1286</v>
      </c>
      <c r="N261" s="3">
        <v>364.66097680000001</v>
      </c>
      <c r="O261" s="3" t="s">
        <v>1287</v>
      </c>
      <c r="P261" s="3" t="s">
        <v>25</v>
      </c>
      <c r="Q261" s="3" t="s">
        <v>4876</v>
      </c>
    </row>
    <row r="262" spans="1:17">
      <c r="A262" s="3">
        <v>687001</v>
      </c>
      <c r="B262" s="3" t="s">
        <v>1288</v>
      </c>
      <c r="C262" s="3" t="str">
        <f>"9780786443567"</f>
        <v>9780786443567</v>
      </c>
      <c r="D262" s="3" t="str">
        <f>"9780786486434"</f>
        <v>9780786486434</v>
      </c>
      <c r="E262" s="3" t="s">
        <v>828</v>
      </c>
      <c r="F262" s="3" t="s">
        <v>828</v>
      </c>
      <c r="G262" s="4">
        <v>40633</v>
      </c>
      <c r="H262" s="3" t="s">
        <v>20</v>
      </c>
      <c r="I262" s="3">
        <v>1</v>
      </c>
      <c r="J262" s="3"/>
      <c r="K262" s="3" t="s">
        <v>1289</v>
      </c>
      <c r="L262" s="3" t="s">
        <v>43</v>
      </c>
      <c r="M262" s="3" t="s">
        <v>1290</v>
      </c>
      <c r="N262" s="3">
        <v>759.13</v>
      </c>
      <c r="O262" s="3" t="s">
        <v>1291</v>
      </c>
      <c r="P262" s="3" t="s">
        <v>25</v>
      </c>
      <c r="Q262" s="3" t="s">
        <v>4877</v>
      </c>
    </row>
    <row r="263" spans="1:17">
      <c r="A263" s="3">
        <v>687003</v>
      </c>
      <c r="B263" s="3" t="s">
        <v>1292</v>
      </c>
      <c r="C263" s="3" t="str">
        <f>"9780786460748"</f>
        <v>9780786460748</v>
      </c>
      <c r="D263" s="3" t="str">
        <f>"9780786485406"</f>
        <v>9780786485406</v>
      </c>
      <c r="E263" s="3" t="s">
        <v>828</v>
      </c>
      <c r="F263" s="3" t="s">
        <v>828</v>
      </c>
      <c r="G263" s="4">
        <v>40633</v>
      </c>
      <c r="H263" s="3" t="s">
        <v>20</v>
      </c>
      <c r="I263" s="3">
        <v>2</v>
      </c>
      <c r="J263" s="3"/>
      <c r="K263" s="3" t="s">
        <v>1293</v>
      </c>
      <c r="L263" s="3" t="s">
        <v>64</v>
      </c>
      <c r="M263" s="3" t="s">
        <v>1294</v>
      </c>
      <c r="N263" s="3">
        <v>394.26459999999997</v>
      </c>
      <c r="O263" s="3" t="s">
        <v>1295</v>
      </c>
      <c r="P263" s="3" t="s">
        <v>25</v>
      </c>
      <c r="Q263" s="3" t="s">
        <v>4878</v>
      </c>
    </row>
    <row r="264" spans="1:17">
      <c r="A264" s="3">
        <v>687014</v>
      </c>
      <c r="B264" s="3" t="s">
        <v>1296</v>
      </c>
      <c r="C264" s="3" t="str">
        <f>"9780786449859"</f>
        <v>9780786449859</v>
      </c>
      <c r="D264" s="3" t="str">
        <f>"9780786486120"</f>
        <v>9780786486120</v>
      </c>
      <c r="E264" s="3" t="s">
        <v>828</v>
      </c>
      <c r="F264" s="3" t="s">
        <v>828</v>
      </c>
      <c r="G264" s="4">
        <v>40645</v>
      </c>
      <c r="H264" s="3" t="s">
        <v>20</v>
      </c>
      <c r="I264" s="3">
        <v>2</v>
      </c>
      <c r="J264" s="3"/>
      <c r="K264" s="3" t="s">
        <v>1297</v>
      </c>
      <c r="L264" s="3" t="s">
        <v>43</v>
      </c>
      <c r="M264" s="3" t="s">
        <v>1298</v>
      </c>
      <c r="N264" s="3" t="s">
        <v>1299</v>
      </c>
      <c r="O264" s="3" t="s">
        <v>1300</v>
      </c>
      <c r="P264" s="3" t="s">
        <v>25</v>
      </c>
      <c r="Q264" s="3" t="s">
        <v>4879</v>
      </c>
    </row>
    <row r="265" spans="1:17">
      <c r="A265" s="3">
        <v>687016</v>
      </c>
      <c r="B265" s="3" t="s">
        <v>1301</v>
      </c>
      <c r="C265" s="3" t="str">
        <f>"9780786458509"</f>
        <v>9780786458509</v>
      </c>
      <c r="D265" s="3" t="str">
        <f>"9780786485468"</f>
        <v>9780786485468</v>
      </c>
      <c r="E265" s="3" t="s">
        <v>828</v>
      </c>
      <c r="F265" s="3" t="s">
        <v>828</v>
      </c>
      <c r="G265" s="4">
        <v>40624</v>
      </c>
      <c r="H265" s="3" t="s">
        <v>20</v>
      </c>
      <c r="I265" s="3">
        <v>1</v>
      </c>
      <c r="J265" s="3" t="s">
        <v>829</v>
      </c>
      <c r="K265" s="3" t="s">
        <v>1302</v>
      </c>
      <c r="L265" s="3" t="s">
        <v>22</v>
      </c>
      <c r="M265" s="3" t="s">
        <v>1303</v>
      </c>
      <c r="N265" s="3">
        <v>813.54</v>
      </c>
      <c r="O265" s="3" t="s">
        <v>1304</v>
      </c>
      <c r="P265" s="3" t="s">
        <v>25</v>
      </c>
      <c r="Q265" s="3" t="s">
        <v>4880</v>
      </c>
    </row>
    <row r="266" spans="1:17">
      <c r="A266" s="3">
        <v>689304</v>
      </c>
      <c r="B266" s="3" t="s">
        <v>1305</v>
      </c>
      <c r="C266" s="3" t="str">
        <f>"9780195386097"</f>
        <v>9780195386097</v>
      </c>
      <c r="D266" s="3" t="str">
        <f>"9780199749829"</f>
        <v>9780199749829</v>
      </c>
      <c r="E266" s="3" t="s">
        <v>910</v>
      </c>
      <c r="F266" s="3" t="s">
        <v>910</v>
      </c>
      <c r="G266" s="4">
        <v>40704</v>
      </c>
      <c r="H266" s="3" t="s">
        <v>20</v>
      </c>
      <c r="I266" s="3"/>
      <c r="J266" s="3"/>
      <c r="K266" s="3" t="s">
        <v>1306</v>
      </c>
      <c r="L266" s="3" t="s">
        <v>1307</v>
      </c>
      <c r="M266" s="3" t="s">
        <v>1308</v>
      </c>
      <c r="N266" s="3" t="s">
        <v>1309</v>
      </c>
      <c r="O266" s="3" t="s">
        <v>1310</v>
      </c>
      <c r="P266" s="3" t="s">
        <v>25</v>
      </c>
      <c r="Q266" s="3" t="s">
        <v>4881</v>
      </c>
    </row>
    <row r="267" spans="1:17">
      <c r="A267" s="3">
        <v>689482</v>
      </c>
      <c r="B267" s="3" t="s">
        <v>1311</v>
      </c>
      <c r="C267" s="3" t="str">
        <f>"9781412935296"</f>
        <v>9781412935296</v>
      </c>
      <c r="D267" s="3" t="str">
        <f>"9781446209608"</f>
        <v>9781446209608</v>
      </c>
      <c r="E267" s="3" t="s">
        <v>253</v>
      </c>
      <c r="F267" s="3" t="s">
        <v>253</v>
      </c>
      <c r="G267" s="4">
        <v>40583</v>
      </c>
      <c r="H267" s="3" t="s">
        <v>20</v>
      </c>
      <c r="I267" s="3">
        <v>1</v>
      </c>
      <c r="J267" s="3"/>
      <c r="K267" s="3" t="s">
        <v>1312</v>
      </c>
      <c r="L267" s="3" t="s">
        <v>36</v>
      </c>
      <c r="M267" s="3" t="s">
        <v>1313</v>
      </c>
      <c r="N267" s="3">
        <v>658.00720999999999</v>
      </c>
      <c r="O267" s="3" t="s">
        <v>1314</v>
      </c>
      <c r="P267" s="3" t="s">
        <v>25</v>
      </c>
      <c r="Q267" s="3" t="s">
        <v>4882</v>
      </c>
    </row>
    <row r="268" spans="1:17">
      <c r="A268" s="3">
        <v>693784</v>
      </c>
      <c r="B268" s="3" t="s">
        <v>1315</v>
      </c>
      <c r="C268" s="3" t="str">
        <f>"9781405185370"</f>
        <v>9781405185370</v>
      </c>
      <c r="D268" s="3" t="str">
        <f>"9781444396324"</f>
        <v>9781444396324</v>
      </c>
      <c r="E268" s="3" t="s">
        <v>32</v>
      </c>
      <c r="F268" s="3" t="s">
        <v>33</v>
      </c>
      <c r="G268" s="4">
        <v>40679</v>
      </c>
      <c r="H268" s="3" t="s">
        <v>20</v>
      </c>
      <c r="I268" s="3">
        <v>1</v>
      </c>
      <c r="J268" s="3"/>
      <c r="K268" s="3" t="s">
        <v>1316</v>
      </c>
      <c r="L268" s="3" t="s">
        <v>43</v>
      </c>
      <c r="M268" s="3" t="s">
        <v>1317</v>
      </c>
      <c r="N268" s="3">
        <v>709.5</v>
      </c>
      <c r="O268" s="3" t="s">
        <v>1318</v>
      </c>
      <c r="P268" s="3" t="s">
        <v>25</v>
      </c>
      <c r="Q268" s="3" t="s">
        <v>4883</v>
      </c>
    </row>
    <row r="269" spans="1:17">
      <c r="A269" s="3">
        <v>693970</v>
      </c>
      <c r="B269" s="3" t="s">
        <v>1319</v>
      </c>
      <c r="C269" s="3" t="str">
        <f>"9780199566846"</f>
        <v>9780199566846</v>
      </c>
      <c r="D269" s="3" t="str">
        <f>"9780191604294"</f>
        <v>9780191604294</v>
      </c>
      <c r="E269" s="3" t="s">
        <v>910</v>
      </c>
      <c r="F269" s="3" t="s">
        <v>910</v>
      </c>
      <c r="G269" s="4">
        <v>40648</v>
      </c>
      <c r="H269" s="3" t="s">
        <v>20</v>
      </c>
      <c r="I269" s="3"/>
      <c r="J269" s="3" t="s">
        <v>1320</v>
      </c>
      <c r="K269" s="3" t="s">
        <v>1321</v>
      </c>
      <c r="L269" s="3" t="s">
        <v>551</v>
      </c>
      <c r="M269" s="3" t="s">
        <v>1322</v>
      </c>
      <c r="N269" s="3">
        <v>530.12090000000001</v>
      </c>
      <c r="O269" s="3" t="s">
        <v>1323</v>
      </c>
      <c r="P269" s="3" t="s">
        <v>25</v>
      </c>
      <c r="Q269" s="3" t="s">
        <v>4884</v>
      </c>
    </row>
    <row r="270" spans="1:17">
      <c r="A270" s="3">
        <v>697575</v>
      </c>
      <c r="B270" s="3" t="s">
        <v>1324</v>
      </c>
      <c r="C270" s="3" t="str">
        <f>"9780470643655"</f>
        <v>9780470643655</v>
      </c>
      <c r="D270" s="3" t="str">
        <f>"9781118115909"</f>
        <v>9781118115909</v>
      </c>
      <c r="E270" s="3" t="s">
        <v>32</v>
      </c>
      <c r="F270" s="3" t="s">
        <v>32</v>
      </c>
      <c r="G270" s="4">
        <v>40855</v>
      </c>
      <c r="H270" s="3" t="s">
        <v>20</v>
      </c>
      <c r="I270" s="3">
        <v>2</v>
      </c>
      <c r="J270" s="3"/>
      <c r="K270" s="3" t="s">
        <v>1325</v>
      </c>
      <c r="L270" s="3" t="s">
        <v>1326</v>
      </c>
      <c r="M270" s="3" t="s">
        <v>1327</v>
      </c>
      <c r="N270" s="3" t="s">
        <v>1328</v>
      </c>
      <c r="O270" s="3" t="s">
        <v>1329</v>
      </c>
      <c r="P270" s="3" t="s">
        <v>25</v>
      </c>
      <c r="Q270" s="3" t="s">
        <v>4885</v>
      </c>
    </row>
    <row r="271" spans="1:17">
      <c r="A271" s="3">
        <v>697593</v>
      </c>
      <c r="B271" s="3" t="s">
        <v>1330</v>
      </c>
      <c r="C271" s="3" t="str">
        <f>"9780470683842"</f>
        <v>9780470683842</v>
      </c>
      <c r="D271" s="3" t="str">
        <f>"9781119998563"</f>
        <v>9781119998563</v>
      </c>
      <c r="E271" s="3" t="s">
        <v>32</v>
      </c>
      <c r="F271" s="3" t="s">
        <v>32</v>
      </c>
      <c r="G271" s="4">
        <v>40756</v>
      </c>
      <c r="H271" s="3" t="s">
        <v>20</v>
      </c>
      <c r="I271" s="3">
        <v>1</v>
      </c>
      <c r="J271" s="3"/>
      <c r="K271" s="3" t="s">
        <v>1331</v>
      </c>
      <c r="L271" s="3" t="s">
        <v>948</v>
      </c>
      <c r="M271" s="3" t="s">
        <v>1332</v>
      </c>
      <c r="N271" s="3">
        <v>616.85844499999996</v>
      </c>
      <c r="O271" s="3" t="s">
        <v>1333</v>
      </c>
      <c r="P271" s="3" t="s">
        <v>25</v>
      </c>
      <c r="Q271" s="3" t="s">
        <v>4886</v>
      </c>
    </row>
    <row r="272" spans="1:17">
      <c r="A272" s="3">
        <v>697761</v>
      </c>
      <c r="B272" s="3" t="s">
        <v>1334</v>
      </c>
      <c r="C272" s="3" t="str">
        <f>"9781118650998"</f>
        <v>9781118650998</v>
      </c>
      <c r="D272" s="3" t="str">
        <f>"9781444342468"</f>
        <v>9781444342468</v>
      </c>
      <c r="E272" s="3" t="s">
        <v>32</v>
      </c>
      <c r="F272" s="3" t="s">
        <v>33</v>
      </c>
      <c r="G272" s="4">
        <v>40694</v>
      </c>
      <c r="H272" s="3" t="s">
        <v>20</v>
      </c>
      <c r="I272" s="3">
        <v>1</v>
      </c>
      <c r="J272" s="3" t="s">
        <v>1335</v>
      </c>
      <c r="K272" s="3" t="s">
        <v>1336</v>
      </c>
      <c r="L272" s="3" t="s">
        <v>779</v>
      </c>
      <c r="M272" s="3" t="s">
        <v>1337</v>
      </c>
      <c r="N272" s="3">
        <v>599.93803000000003</v>
      </c>
      <c r="O272" s="3" t="s">
        <v>1338</v>
      </c>
      <c r="P272" s="3" t="s">
        <v>25</v>
      </c>
      <c r="Q272" s="3" t="s">
        <v>4887</v>
      </c>
    </row>
    <row r="273" spans="1:17">
      <c r="A273" s="3">
        <v>697896</v>
      </c>
      <c r="B273" s="3" t="s">
        <v>1339</v>
      </c>
      <c r="C273" s="3" t="str">
        <f>"9781405191319"</f>
        <v>9781405191319</v>
      </c>
      <c r="D273" s="3" t="str">
        <f>"9781444395723"</f>
        <v>9781444395723</v>
      </c>
      <c r="E273" s="3" t="s">
        <v>32</v>
      </c>
      <c r="F273" s="3" t="s">
        <v>33</v>
      </c>
      <c r="G273" s="4">
        <v>40679</v>
      </c>
      <c r="H273" s="3" t="s">
        <v>20</v>
      </c>
      <c r="I273" s="3">
        <v>1</v>
      </c>
      <c r="J273" s="3" t="s">
        <v>1340</v>
      </c>
      <c r="K273" s="3" t="s">
        <v>1341</v>
      </c>
      <c r="L273" s="3" t="s">
        <v>118</v>
      </c>
      <c r="M273" s="3" t="s">
        <v>1342</v>
      </c>
      <c r="N273" s="3" t="s">
        <v>1343</v>
      </c>
      <c r="O273" s="3" t="s">
        <v>1344</v>
      </c>
      <c r="P273" s="3" t="s">
        <v>25</v>
      </c>
      <c r="Q273" s="3" t="s">
        <v>4888</v>
      </c>
    </row>
    <row r="274" spans="1:17">
      <c r="A274" s="3">
        <v>700583</v>
      </c>
      <c r="B274" s="3" t="s">
        <v>1345</v>
      </c>
      <c r="C274" s="3" t="str">
        <f>"9781405161848"</f>
        <v>9781405161848</v>
      </c>
      <c r="D274" s="3" t="str">
        <f>"9781118779064"</f>
        <v>9781118779064</v>
      </c>
      <c r="E274" s="3" t="s">
        <v>32</v>
      </c>
      <c r="F274" s="3" t="s">
        <v>33</v>
      </c>
      <c r="G274" s="4">
        <v>40561</v>
      </c>
      <c r="H274" s="3" t="s">
        <v>20</v>
      </c>
      <c r="I274" s="3">
        <v>1</v>
      </c>
      <c r="J274" s="3" t="s">
        <v>1346</v>
      </c>
      <c r="K274" s="3" t="s">
        <v>1347</v>
      </c>
      <c r="L274" s="3" t="s">
        <v>22</v>
      </c>
      <c r="M274" s="3" t="s">
        <v>1348</v>
      </c>
      <c r="N274" s="3" t="s">
        <v>1349</v>
      </c>
      <c r="O274" s="3" t="s">
        <v>1350</v>
      </c>
      <c r="P274" s="3" t="s">
        <v>25</v>
      </c>
      <c r="Q274" s="3" t="s">
        <v>4889</v>
      </c>
    </row>
    <row r="275" spans="1:17">
      <c r="A275" s="3">
        <v>700624</v>
      </c>
      <c r="B275" s="3" t="s">
        <v>1351</v>
      </c>
      <c r="C275" s="3" t="str">
        <f>"9781405188449"</f>
        <v>9781405188449</v>
      </c>
      <c r="D275" s="3" t="str">
        <f>"9781444395754"</f>
        <v>9781444395754</v>
      </c>
      <c r="E275" s="3" t="s">
        <v>32</v>
      </c>
      <c r="F275" s="3" t="s">
        <v>33</v>
      </c>
      <c r="G275" s="4">
        <v>40669</v>
      </c>
      <c r="H275" s="3" t="s">
        <v>20</v>
      </c>
      <c r="I275" s="3">
        <v>1</v>
      </c>
      <c r="J275" s="3" t="s">
        <v>718</v>
      </c>
      <c r="K275" s="3" t="s">
        <v>1352</v>
      </c>
      <c r="L275" s="3" t="s">
        <v>118</v>
      </c>
      <c r="M275" s="3" t="s">
        <v>1353</v>
      </c>
      <c r="N275" s="3" t="s">
        <v>1354</v>
      </c>
      <c r="O275" s="3" t="s">
        <v>1355</v>
      </c>
      <c r="P275" s="3" t="s">
        <v>25</v>
      </c>
      <c r="Q275" s="3" t="s">
        <v>4890</v>
      </c>
    </row>
    <row r="276" spans="1:17">
      <c r="A276" s="3">
        <v>706571</v>
      </c>
      <c r="B276" s="3" t="s">
        <v>1356</v>
      </c>
      <c r="C276" s="3" t="str">
        <f>"9780470393352"</f>
        <v>9780470393352</v>
      </c>
      <c r="D276" s="3" t="str">
        <f>"9780470949184"</f>
        <v>9780470949184</v>
      </c>
      <c r="E276" s="3" t="s">
        <v>32</v>
      </c>
      <c r="F276" s="3" t="s">
        <v>530</v>
      </c>
      <c r="G276" s="4">
        <v>40624</v>
      </c>
      <c r="H276" s="3" t="s">
        <v>20</v>
      </c>
      <c r="I276" s="3">
        <v>1</v>
      </c>
      <c r="J276" s="3"/>
      <c r="K276" s="3" t="s">
        <v>1357</v>
      </c>
      <c r="L276" s="3" t="s">
        <v>22</v>
      </c>
      <c r="M276" s="3" t="s">
        <v>1358</v>
      </c>
      <c r="N276" s="3">
        <v>808.04200000000003</v>
      </c>
      <c r="O276" s="3" t="s">
        <v>1359</v>
      </c>
      <c r="P276" s="3" t="s">
        <v>25</v>
      </c>
      <c r="Q276" s="3" t="s">
        <v>4891</v>
      </c>
    </row>
    <row r="277" spans="1:17">
      <c r="A277" s="3">
        <v>706652</v>
      </c>
      <c r="B277" s="3" t="s">
        <v>1360</v>
      </c>
      <c r="C277" s="3" t="str">
        <f>"9780470525135"</f>
        <v>9780470525135</v>
      </c>
      <c r="D277" s="3" t="str">
        <f>"9781118001356"</f>
        <v>9781118001356</v>
      </c>
      <c r="E277" s="3" t="s">
        <v>32</v>
      </c>
      <c r="F277" s="3" t="s">
        <v>530</v>
      </c>
      <c r="G277" s="4">
        <v>40603</v>
      </c>
      <c r="H277" s="3" t="s">
        <v>20</v>
      </c>
      <c r="I277" s="3">
        <v>2</v>
      </c>
      <c r="J277" s="3" t="s">
        <v>1054</v>
      </c>
      <c r="K277" s="3" t="s">
        <v>1361</v>
      </c>
      <c r="L277" s="3" t="s">
        <v>1362</v>
      </c>
      <c r="M277" s="3" t="s">
        <v>1363</v>
      </c>
      <c r="N277" s="3">
        <v>428.00711999999999</v>
      </c>
      <c r="O277" s="3" t="s">
        <v>1364</v>
      </c>
      <c r="P277" s="3" t="s">
        <v>25</v>
      </c>
      <c r="Q277" s="3" t="s">
        <v>4892</v>
      </c>
    </row>
    <row r="278" spans="1:17">
      <c r="A278" s="3">
        <v>712125</v>
      </c>
      <c r="B278" s="3" t="s">
        <v>1365</v>
      </c>
      <c r="C278" s="3" t="str">
        <f>"9780470742709"</f>
        <v>9780470742709</v>
      </c>
      <c r="D278" s="3" t="str">
        <f>"9781119996019"</f>
        <v>9781119996019</v>
      </c>
      <c r="E278" s="3" t="s">
        <v>32</v>
      </c>
      <c r="F278" s="3" t="s">
        <v>491</v>
      </c>
      <c r="G278" s="4">
        <v>40932</v>
      </c>
      <c r="H278" s="3" t="s">
        <v>20</v>
      </c>
      <c r="I278" s="3">
        <v>1</v>
      </c>
      <c r="J278" s="3"/>
      <c r="K278" s="3" t="s">
        <v>1366</v>
      </c>
      <c r="L278" s="3" t="s">
        <v>1367</v>
      </c>
      <c r="M278" s="3" t="s">
        <v>1368</v>
      </c>
      <c r="N278" s="3">
        <v>808.06637799999999</v>
      </c>
      <c r="O278" s="3" t="s">
        <v>1369</v>
      </c>
      <c r="P278" s="3" t="s">
        <v>25</v>
      </c>
      <c r="Q278" s="3" t="s">
        <v>4893</v>
      </c>
    </row>
    <row r="279" spans="1:17">
      <c r="A279" s="3">
        <v>716703</v>
      </c>
      <c r="B279" s="3" t="s">
        <v>1370</v>
      </c>
      <c r="C279" s="3" t="str">
        <f>"9780199743506"</f>
        <v>9780199743506</v>
      </c>
      <c r="D279" s="3" t="str">
        <f>"9780199876785"</f>
        <v>9780199876785</v>
      </c>
      <c r="E279" s="3" t="s">
        <v>910</v>
      </c>
      <c r="F279" s="3" t="s">
        <v>910</v>
      </c>
      <c r="G279" s="4">
        <v>40669</v>
      </c>
      <c r="H279" s="3" t="s">
        <v>20</v>
      </c>
      <c r="I279" s="3"/>
      <c r="J279" s="3" t="s">
        <v>1371</v>
      </c>
      <c r="K279" s="3" t="s">
        <v>1372</v>
      </c>
      <c r="L279" s="3" t="s">
        <v>204</v>
      </c>
      <c r="M279" s="3" t="s">
        <v>1373</v>
      </c>
      <c r="N279" s="3">
        <v>616.79999999999995</v>
      </c>
      <c r="O279" s="3" t="s">
        <v>1374</v>
      </c>
      <c r="P279" s="3" t="s">
        <v>25</v>
      </c>
      <c r="Q279" s="3" t="s">
        <v>4894</v>
      </c>
    </row>
    <row r="280" spans="1:17">
      <c r="A280" s="3">
        <v>717457</v>
      </c>
      <c r="B280" s="3" t="s">
        <v>1375</v>
      </c>
      <c r="C280" s="3" t="str">
        <f>"9789004187405"</f>
        <v>9789004187405</v>
      </c>
      <c r="D280" s="3" t="str">
        <f>"9789004190085"</f>
        <v>9789004190085</v>
      </c>
      <c r="E280" s="3" t="s">
        <v>611</v>
      </c>
      <c r="F280" s="3" t="s">
        <v>611</v>
      </c>
      <c r="G280" s="4">
        <v>40532</v>
      </c>
      <c r="H280" s="3" t="s">
        <v>20</v>
      </c>
      <c r="I280" s="3">
        <v>1</v>
      </c>
      <c r="J280" s="3" t="s">
        <v>1376</v>
      </c>
      <c r="K280" s="3" t="s">
        <v>1377</v>
      </c>
      <c r="L280" s="3" t="s">
        <v>504</v>
      </c>
      <c r="M280" s="3" t="s">
        <v>1378</v>
      </c>
      <c r="N280" s="3" t="s">
        <v>1379</v>
      </c>
      <c r="O280" s="3" t="s">
        <v>1380</v>
      </c>
      <c r="P280" s="3" t="s">
        <v>25</v>
      </c>
      <c r="Q280" s="3" t="s">
        <v>4895</v>
      </c>
    </row>
    <row r="281" spans="1:17">
      <c r="A281" s="3">
        <v>717927</v>
      </c>
      <c r="B281" s="3" t="s">
        <v>1381</v>
      </c>
      <c r="C281" s="3" t="str">
        <f>"9781615305285"</f>
        <v>9781615305285</v>
      </c>
      <c r="D281" s="3" t="str">
        <f>"9781615305773"</f>
        <v>9781615305773</v>
      </c>
      <c r="E281" s="3" t="s">
        <v>983</v>
      </c>
      <c r="F281" s="3" t="s">
        <v>984</v>
      </c>
      <c r="G281" s="4">
        <v>40756</v>
      </c>
      <c r="H281" s="3" t="s">
        <v>20</v>
      </c>
      <c r="I281" s="3">
        <v>1</v>
      </c>
      <c r="J281" s="3" t="s">
        <v>1382</v>
      </c>
      <c r="K281" s="3" t="s">
        <v>1383</v>
      </c>
      <c r="L281" s="3" t="s">
        <v>406</v>
      </c>
      <c r="M281" s="3" t="s">
        <v>1384</v>
      </c>
      <c r="N281" s="3">
        <v>796.32299999999998</v>
      </c>
      <c r="O281" s="3" t="s">
        <v>1385</v>
      </c>
      <c r="P281" s="3" t="s">
        <v>25</v>
      </c>
      <c r="Q281" s="3" t="s">
        <v>4896</v>
      </c>
    </row>
    <row r="282" spans="1:17">
      <c r="A282" s="3">
        <v>717937</v>
      </c>
      <c r="B282" s="3" t="s">
        <v>1386</v>
      </c>
      <c r="C282" s="3" t="str">
        <f>"9781615304929"</f>
        <v>9781615304929</v>
      </c>
      <c r="D282" s="3" t="str">
        <f>"9781615305414"</f>
        <v>9781615305414</v>
      </c>
      <c r="E282" s="3" t="s">
        <v>983</v>
      </c>
      <c r="F282" s="3" t="s">
        <v>984</v>
      </c>
      <c r="G282" s="4">
        <v>40756</v>
      </c>
      <c r="H282" s="3" t="s">
        <v>20</v>
      </c>
      <c r="I282" s="3">
        <v>1</v>
      </c>
      <c r="J282" s="3" t="s">
        <v>1387</v>
      </c>
      <c r="K282" s="3" t="s">
        <v>1388</v>
      </c>
      <c r="L282" s="3" t="s">
        <v>1389</v>
      </c>
      <c r="M282" s="3" t="s">
        <v>1390</v>
      </c>
      <c r="N282" s="3">
        <v>552</v>
      </c>
      <c r="O282" s="3" t="s">
        <v>1391</v>
      </c>
      <c r="P282" s="3" t="s">
        <v>25</v>
      </c>
      <c r="Q282" s="3" t="s">
        <v>4897</v>
      </c>
    </row>
    <row r="283" spans="1:17">
      <c r="A283" s="3">
        <v>728730</v>
      </c>
      <c r="B283" s="3" t="s">
        <v>1392</v>
      </c>
      <c r="C283" s="3" t="str">
        <f>"9780199681037"</f>
        <v>9780199681037</v>
      </c>
      <c r="D283" s="3" t="str">
        <f>"9780191576706"</f>
        <v>9780191576706</v>
      </c>
      <c r="E283" s="3" t="s">
        <v>910</v>
      </c>
      <c r="F283" s="3" t="s">
        <v>910</v>
      </c>
      <c r="G283" s="4">
        <v>40714</v>
      </c>
      <c r="H283" s="3" t="s">
        <v>20</v>
      </c>
      <c r="I283" s="3"/>
      <c r="J283" s="3" t="s">
        <v>1393</v>
      </c>
      <c r="K283" s="3" t="s">
        <v>1394</v>
      </c>
      <c r="L283" s="3" t="s">
        <v>182</v>
      </c>
      <c r="M283" s="3" t="s">
        <v>1395</v>
      </c>
      <c r="N283" s="3">
        <v>170</v>
      </c>
      <c r="O283" s="3" t="s">
        <v>1396</v>
      </c>
      <c r="P283" s="3" t="s">
        <v>25</v>
      </c>
      <c r="Q283" s="3" t="s">
        <v>4898</v>
      </c>
    </row>
    <row r="284" spans="1:17">
      <c r="A284" s="3">
        <v>728731</v>
      </c>
      <c r="B284" s="3" t="s">
        <v>1397</v>
      </c>
      <c r="C284" s="3" t="str">
        <f>"9780199681044"</f>
        <v>9780199681044</v>
      </c>
      <c r="D284" s="3" t="str">
        <f>"9780191576713"</f>
        <v>9780191576713</v>
      </c>
      <c r="E284" s="3" t="s">
        <v>910</v>
      </c>
      <c r="F284" s="3" t="s">
        <v>910</v>
      </c>
      <c r="G284" s="4">
        <v>40714</v>
      </c>
      <c r="H284" s="3" t="s">
        <v>20</v>
      </c>
      <c r="I284" s="3"/>
      <c r="J284" s="3" t="s">
        <v>1393</v>
      </c>
      <c r="K284" s="3" t="s">
        <v>1394</v>
      </c>
      <c r="L284" s="3" t="s">
        <v>182</v>
      </c>
      <c r="M284" s="3" t="s">
        <v>1395</v>
      </c>
      <c r="N284" s="3">
        <v>170</v>
      </c>
      <c r="O284" s="3" t="s">
        <v>1396</v>
      </c>
      <c r="P284" s="3" t="s">
        <v>25</v>
      </c>
      <c r="Q284" s="3" t="s">
        <v>4899</v>
      </c>
    </row>
    <row r="285" spans="1:17">
      <c r="A285" s="3">
        <v>728761</v>
      </c>
      <c r="B285" s="3" t="s">
        <v>1398</v>
      </c>
      <c r="C285" s="3" t="str">
        <f>"9780199753857"</f>
        <v>9780199753857</v>
      </c>
      <c r="D285" s="3" t="str">
        <f>"9780199842513"</f>
        <v>9780199842513</v>
      </c>
      <c r="E285" s="3" t="s">
        <v>910</v>
      </c>
      <c r="F285" s="3" t="s">
        <v>910</v>
      </c>
      <c r="G285" s="4">
        <v>40721</v>
      </c>
      <c r="H285" s="3" t="s">
        <v>20</v>
      </c>
      <c r="I285" s="3"/>
      <c r="J285" s="3" t="s">
        <v>1399</v>
      </c>
      <c r="K285" s="3" t="s">
        <v>1400</v>
      </c>
      <c r="L285" s="3" t="s">
        <v>317</v>
      </c>
      <c r="M285" s="3" t="s">
        <v>1401</v>
      </c>
      <c r="N285" s="3">
        <v>618.91999999999996</v>
      </c>
      <c r="O285" s="3" t="s">
        <v>1402</v>
      </c>
      <c r="P285" s="3" t="s">
        <v>25</v>
      </c>
      <c r="Q285" s="3" t="s">
        <v>4900</v>
      </c>
    </row>
    <row r="286" spans="1:17">
      <c r="A286" s="3">
        <v>731202</v>
      </c>
      <c r="B286" s="3" t="s">
        <v>1403</v>
      </c>
      <c r="C286" s="3" t="str">
        <f>"9789812836052"</f>
        <v>9789812836052</v>
      </c>
      <c r="D286" s="3" t="str">
        <f>"9789812836069"</f>
        <v>9789812836069</v>
      </c>
      <c r="E286" s="3" t="s">
        <v>1404</v>
      </c>
      <c r="F286" s="3" t="s">
        <v>1405</v>
      </c>
      <c r="G286" s="4">
        <v>40295</v>
      </c>
      <c r="H286" s="3" t="s">
        <v>20</v>
      </c>
      <c r="I286" s="3"/>
      <c r="J286" s="3"/>
      <c r="K286" s="3" t="s">
        <v>1406</v>
      </c>
      <c r="L286" s="3" t="s">
        <v>36</v>
      </c>
      <c r="M286" s="3" t="s">
        <v>1407</v>
      </c>
      <c r="N286" s="3">
        <v>658.40380110000001</v>
      </c>
      <c r="O286" s="3" t="s">
        <v>1408</v>
      </c>
      <c r="P286" s="3" t="s">
        <v>25</v>
      </c>
      <c r="Q286" s="3" t="s">
        <v>4901</v>
      </c>
    </row>
    <row r="287" spans="1:17">
      <c r="A287" s="3">
        <v>735599</v>
      </c>
      <c r="B287" s="3" t="s">
        <v>1409</v>
      </c>
      <c r="C287" s="3" t="str">
        <f>""</f>
        <v/>
      </c>
      <c r="D287" s="3" t="str">
        <f>"9781615355167"</f>
        <v>9781615355167</v>
      </c>
      <c r="E287" s="3" t="s">
        <v>359</v>
      </c>
      <c r="F287" s="3" t="s">
        <v>360</v>
      </c>
      <c r="G287" s="4">
        <v>40544</v>
      </c>
      <c r="H287" s="3" t="s">
        <v>20</v>
      </c>
      <c r="I287" s="3">
        <v>1</v>
      </c>
      <c r="J287" s="3" t="s">
        <v>1410</v>
      </c>
      <c r="K287" s="3" t="s">
        <v>736</v>
      </c>
      <c r="L287" s="3" t="s">
        <v>616</v>
      </c>
      <c r="M287" s="3" t="s">
        <v>1411</v>
      </c>
      <c r="N287" s="3">
        <v>31</v>
      </c>
      <c r="O287" s="3" t="s">
        <v>1412</v>
      </c>
      <c r="P287" s="3" t="s">
        <v>1413</v>
      </c>
      <c r="Q287" s="3" t="s">
        <v>4902</v>
      </c>
    </row>
    <row r="288" spans="1:17">
      <c r="A288" s="3">
        <v>737309</v>
      </c>
      <c r="B288" s="3" t="s">
        <v>1414</v>
      </c>
      <c r="C288" s="3" t="str">
        <f>"9780195389722"</f>
        <v>9780195389722</v>
      </c>
      <c r="D288" s="3" t="str">
        <f>"9780199830763"</f>
        <v>9780199830763</v>
      </c>
      <c r="E288" s="3" t="s">
        <v>910</v>
      </c>
      <c r="F288" s="3" t="s">
        <v>910</v>
      </c>
      <c r="G288" s="4">
        <v>40697</v>
      </c>
      <c r="H288" s="3" t="s">
        <v>20</v>
      </c>
      <c r="I288" s="3"/>
      <c r="J288" s="3" t="s">
        <v>1013</v>
      </c>
      <c r="K288" s="3" t="s">
        <v>1415</v>
      </c>
      <c r="L288" s="3" t="s">
        <v>204</v>
      </c>
      <c r="M288" s="3" t="s">
        <v>1416</v>
      </c>
      <c r="N288" s="3">
        <v>616.07539999999995</v>
      </c>
      <c r="O288" s="3" t="s">
        <v>1417</v>
      </c>
      <c r="P288" s="3" t="s">
        <v>25</v>
      </c>
      <c r="Q288" s="3" t="s">
        <v>4903</v>
      </c>
    </row>
    <row r="289" spans="1:17">
      <c r="A289" s="3">
        <v>737472</v>
      </c>
      <c r="B289" s="3" t="s">
        <v>1418</v>
      </c>
      <c r="C289" s="3" t="str">
        <f>"9780199766413"</f>
        <v>9780199766413</v>
      </c>
      <c r="D289" s="3" t="str">
        <f>"9780199830497"</f>
        <v>9780199830497</v>
      </c>
      <c r="E289" s="3" t="s">
        <v>910</v>
      </c>
      <c r="F289" s="3" t="s">
        <v>910</v>
      </c>
      <c r="G289" s="4">
        <v>40780</v>
      </c>
      <c r="H289" s="3" t="s">
        <v>20</v>
      </c>
      <c r="I289" s="3"/>
      <c r="J289" s="3"/>
      <c r="K289" s="3" t="s">
        <v>1419</v>
      </c>
      <c r="L289" s="3" t="s">
        <v>551</v>
      </c>
      <c r="M289" s="3" t="s">
        <v>1420</v>
      </c>
      <c r="N289" s="3" t="s">
        <v>131</v>
      </c>
      <c r="O289" s="3" t="s">
        <v>1421</v>
      </c>
      <c r="P289" s="3" t="s">
        <v>25</v>
      </c>
      <c r="Q289" s="3" t="s">
        <v>4904</v>
      </c>
    </row>
    <row r="290" spans="1:17">
      <c r="A290" s="3">
        <v>746668</v>
      </c>
      <c r="B290" s="3" t="s">
        <v>1422</v>
      </c>
      <c r="C290" s="3" t="str">
        <f>"9780199773879"</f>
        <v>9780199773879</v>
      </c>
      <c r="D290" s="3" t="str">
        <f>"9780199782277"</f>
        <v>9780199782277</v>
      </c>
      <c r="E290" s="3" t="s">
        <v>910</v>
      </c>
      <c r="F290" s="3" t="s">
        <v>910</v>
      </c>
      <c r="G290" s="4">
        <v>40795</v>
      </c>
      <c r="H290" s="3" t="s">
        <v>20</v>
      </c>
      <c r="I290" s="3"/>
      <c r="J290" s="3" t="s">
        <v>1423</v>
      </c>
      <c r="K290" s="3" t="s">
        <v>1424</v>
      </c>
      <c r="L290" s="3" t="s">
        <v>1425</v>
      </c>
      <c r="M290" s="3" t="s">
        <v>1426</v>
      </c>
      <c r="N290" s="3">
        <v>972</v>
      </c>
      <c r="O290" s="3" t="s">
        <v>1427</v>
      </c>
      <c r="P290" s="3" t="s">
        <v>25</v>
      </c>
      <c r="Q290" s="3" t="s">
        <v>4905</v>
      </c>
    </row>
    <row r="291" spans="1:17">
      <c r="A291" s="3">
        <v>746747</v>
      </c>
      <c r="B291" s="3" t="s">
        <v>1428</v>
      </c>
      <c r="C291" s="3" t="str">
        <f>"9780199567935"</f>
        <v>9780199567935</v>
      </c>
      <c r="D291" s="3" t="str">
        <f>"9780191573279"</f>
        <v>9780191573279</v>
      </c>
      <c r="E291" s="3" t="s">
        <v>910</v>
      </c>
      <c r="F291" s="3" t="s">
        <v>910</v>
      </c>
      <c r="G291" s="4">
        <v>40811</v>
      </c>
      <c r="H291" s="3" t="s">
        <v>20</v>
      </c>
      <c r="I291" s="3"/>
      <c r="J291" s="3" t="s">
        <v>1429</v>
      </c>
      <c r="K291" s="3" t="s">
        <v>1430</v>
      </c>
      <c r="L291" s="3" t="s">
        <v>317</v>
      </c>
      <c r="M291" s="3" t="s">
        <v>1431</v>
      </c>
      <c r="N291" s="3" t="s">
        <v>1432</v>
      </c>
      <c r="O291" s="3" t="s">
        <v>1433</v>
      </c>
      <c r="P291" s="3" t="s">
        <v>25</v>
      </c>
      <c r="Q291" s="3" t="s">
        <v>4906</v>
      </c>
    </row>
    <row r="292" spans="1:17">
      <c r="A292" s="3">
        <v>765158</v>
      </c>
      <c r="B292" s="3" t="s">
        <v>1434</v>
      </c>
      <c r="C292" s="3" t="str">
        <f>"9780786461516"</f>
        <v>9780786461516</v>
      </c>
      <c r="D292" s="3" t="str">
        <f>"9780786486939"</f>
        <v>9780786486939</v>
      </c>
      <c r="E292" s="3" t="s">
        <v>828</v>
      </c>
      <c r="F292" s="3" t="s">
        <v>828</v>
      </c>
      <c r="G292" s="4">
        <v>40707</v>
      </c>
      <c r="H292" s="3" t="s">
        <v>20</v>
      </c>
      <c r="I292" s="3">
        <v>1</v>
      </c>
      <c r="J292" s="3" t="s">
        <v>829</v>
      </c>
      <c r="K292" s="3" t="s">
        <v>1435</v>
      </c>
      <c r="L292" s="3" t="s">
        <v>22</v>
      </c>
      <c r="M292" s="3" t="s">
        <v>1436</v>
      </c>
      <c r="N292" s="3" t="s">
        <v>832</v>
      </c>
      <c r="O292" s="3" t="s">
        <v>1437</v>
      </c>
      <c r="P292" s="3" t="s">
        <v>25</v>
      </c>
      <c r="Q292" s="3" t="s">
        <v>4907</v>
      </c>
    </row>
    <row r="293" spans="1:17">
      <c r="A293" s="3">
        <v>765169</v>
      </c>
      <c r="B293" s="3" t="s">
        <v>1438</v>
      </c>
      <c r="C293" s="3" t="str">
        <f>"9780786444632"</f>
        <v>9780786444632</v>
      </c>
      <c r="D293" s="3" t="str">
        <f>"9780786487172"</f>
        <v>9780786487172</v>
      </c>
      <c r="E293" s="3" t="s">
        <v>828</v>
      </c>
      <c r="F293" s="3" t="s">
        <v>828</v>
      </c>
      <c r="G293" s="4">
        <v>40717</v>
      </c>
      <c r="H293" s="3" t="s">
        <v>20</v>
      </c>
      <c r="I293" s="3">
        <v>1</v>
      </c>
      <c r="J293" s="3" t="s">
        <v>1439</v>
      </c>
      <c r="K293" s="3" t="s">
        <v>1440</v>
      </c>
      <c r="L293" s="3" t="s">
        <v>22</v>
      </c>
      <c r="M293" s="3" t="s">
        <v>1441</v>
      </c>
      <c r="N293" s="3" t="s">
        <v>832</v>
      </c>
      <c r="O293" s="3" t="s">
        <v>1442</v>
      </c>
      <c r="P293" s="3" t="s">
        <v>25</v>
      </c>
      <c r="Q293" s="3" t="s">
        <v>4908</v>
      </c>
    </row>
    <row r="294" spans="1:17">
      <c r="A294" s="3">
        <v>773282</v>
      </c>
      <c r="B294" s="3" t="s">
        <v>1443</v>
      </c>
      <c r="C294" s="3" t="str">
        <f>"9780786435906"</f>
        <v>9780786435906</v>
      </c>
      <c r="D294" s="3" t="str">
        <f>"9780786489176"</f>
        <v>9780786489176</v>
      </c>
      <c r="E294" s="3" t="s">
        <v>828</v>
      </c>
      <c r="F294" s="3" t="s">
        <v>828</v>
      </c>
      <c r="G294" s="4">
        <v>40753</v>
      </c>
      <c r="H294" s="3" t="s">
        <v>20</v>
      </c>
      <c r="I294" s="3">
        <v>2</v>
      </c>
      <c r="J294" s="3"/>
      <c r="K294" s="3" t="s">
        <v>1444</v>
      </c>
      <c r="L294" s="3" t="s">
        <v>1157</v>
      </c>
      <c r="M294" s="3" t="s">
        <v>1445</v>
      </c>
      <c r="N294" s="3" t="s">
        <v>1446</v>
      </c>
      <c r="O294" s="3" t="s">
        <v>1447</v>
      </c>
      <c r="P294" s="3" t="s">
        <v>25</v>
      </c>
      <c r="Q294" s="3" t="s">
        <v>4909</v>
      </c>
    </row>
    <row r="295" spans="1:17">
      <c r="A295" s="3">
        <v>775972</v>
      </c>
      <c r="B295" s="3" t="s">
        <v>1448</v>
      </c>
      <c r="C295" s="3" t="str">
        <f>"9780826121912"</f>
        <v>9780826121912</v>
      </c>
      <c r="D295" s="3" t="str">
        <f>"9780826121929"</f>
        <v>9780826121929</v>
      </c>
      <c r="E295" s="3" t="s">
        <v>496</v>
      </c>
      <c r="F295" s="3" t="s">
        <v>496</v>
      </c>
      <c r="G295" s="4">
        <v>28856</v>
      </c>
      <c r="H295" s="3" t="s">
        <v>20</v>
      </c>
      <c r="I295" s="3">
        <v>1</v>
      </c>
      <c r="J295" s="3"/>
      <c r="K295" s="3" t="s">
        <v>1449</v>
      </c>
      <c r="L295" s="3" t="s">
        <v>1450</v>
      </c>
      <c r="M295" s="3" t="s">
        <v>1451</v>
      </c>
      <c r="N295" s="3" t="s">
        <v>1452</v>
      </c>
      <c r="O295" s="3" t="s">
        <v>1453</v>
      </c>
      <c r="P295" s="3" t="s">
        <v>25</v>
      </c>
      <c r="Q295" s="3" t="s">
        <v>4910</v>
      </c>
    </row>
    <row r="296" spans="1:17">
      <c r="A296" s="3">
        <v>784713</v>
      </c>
      <c r="B296" s="3" t="s">
        <v>1454</v>
      </c>
      <c r="C296" s="3" t="str">
        <f>"9780199832699"</f>
        <v>9780199832699</v>
      </c>
      <c r="D296" s="3" t="str">
        <f>"9780199909872"</f>
        <v>9780199909872</v>
      </c>
      <c r="E296" s="3" t="s">
        <v>910</v>
      </c>
      <c r="F296" s="3" t="s">
        <v>910</v>
      </c>
      <c r="G296" s="4">
        <v>40823</v>
      </c>
      <c r="H296" s="3" t="s">
        <v>20</v>
      </c>
      <c r="I296" s="3">
        <v>2</v>
      </c>
      <c r="J296" s="3" t="s">
        <v>1455</v>
      </c>
      <c r="K296" s="3" t="s">
        <v>1456</v>
      </c>
      <c r="L296" s="3" t="s">
        <v>118</v>
      </c>
      <c r="M296" s="3" t="s">
        <v>1457</v>
      </c>
      <c r="N296" s="3">
        <v>200.97300000000001</v>
      </c>
      <c r="O296" s="3" t="s">
        <v>1458</v>
      </c>
      <c r="P296" s="3" t="s">
        <v>25</v>
      </c>
      <c r="Q296" s="3" t="s">
        <v>4911</v>
      </c>
    </row>
    <row r="297" spans="1:17">
      <c r="A297" s="3">
        <v>792464</v>
      </c>
      <c r="B297" s="3" t="s">
        <v>1459</v>
      </c>
      <c r="C297" s="3" t="str">
        <f>"9780470749265"</f>
        <v>9780470749265</v>
      </c>
      <c r="D297" s="3" t="str">
        <f>"9781119996187"</f>
        <v>9781119996187</v>
      </c>
      <c r="E297" s="3" t="s">
        <v>32</v>
      </c>
      <c r="F297" s="3" t="s">
        <v>33</v>
      </c>
      <c r="G297" s="4">
        <v>40686</v>
      </c>
      <c r="H297" s="3" t="s">
        <v>20</v>
      </c>
      <c r="I297" s="3">
        <v>2</v>
      </c>
      <c r="J297" s="3"/>
      <c r="K297" s="3" t="s">
        <v>1460</v>
      </c>
      <c r="L297" s="3" t="s">
        <v>514</v>
      </c>
      <c r="M297" s="3" t="s">
        <v>1461</v>
      </c>
      <c r="N297" s="3" t="s">
        <v>1462</v>
      </c>
      <c r="O297" s="3" t="s">
        <v>1463</v>
      </c>
      <c r="P297" s="3" t="s">
        <v>25</v>
      </c>
      <c r="Q297" s="3" t="s">
        <v>4912</v>
      </c>
    </row>
    <row r="298" spans="1:17">
      <c r="A298" s="3">
        <v>792629</v>
      </c>
      <c r="B298" s="3" t="s">
        <v>1464</v>
      </c>
      <c r="C298" s="3" t="str">
        <f>"9781444315738"</f>
        <v>9781444315738</v>
      </c>
      <c r="D298" s="3" t="str">
        <f>"9781444356045"</f>
        <v>9781444356045</v>
      </c>
      <c r="E298" s="3" t="s">
        <v>32</v>
      </c>
      <c r="F298" s="3" t="s">
        <v>33</v>
      </c>
      <c r="G298" s="4">
        <v>40042</v>
      </c>
      <c r="H298" s="3" t="s">
        <v>20</v>
      </c>
      <c r="I298" s="3">
        <v>1</v>
      </c>
      <c r="J298" s="3" t="s">
        <v>398</v>
      </c>
      <c r="K298" s="3" t="s">
        <v>1465</v>
      </c>
      <c r="L298" s="3" t="s">
        <v>22</v>
      </c>
      <c r="M298" s="3" t="s">
        <v>1466</v>
      </c>
      <c r="N298" s="3" t="s">
        <v>1467</v>
      </c>
      <c r="O298" s="3" t="s">
        <v>1468</v>
      </c>
      <c r="P298" s="3" t="s">
        <v>25</v>
      </c>
      <c r="Q298" s="3" t="s">
        <v>4913</v>
      </c>
    </row>
    <row r="299" spans="1:17">
      <c r="A299" s="3">
        <v>792638</v>
      </c>
      <c r="B299" s="3" t="s">
        <v>1469</v>
      </c>
      <c r="C299" s="3" t="str">
        <f>"9781444342062"</f>
        <v>9781444342062</v>
      </c>
      <c r="D299" s="3" t="str">
        <f>"9781444314878"</f>
        <v>9781444314878</v>
      </c>
      <c r="E299" s="3" t="s">
        <v>32</v>
      </c>
      <c r="F299" s="3" t="s">
        <v>33</v>
      </c>
      <c r="G299" s="4">
        <v>40658</v>
      </c>
      <c r="H299" s="3" t="s">
        <v>20</v>
      </c>
      <c r="I299" s="3">
        <v>1</v>
      </c>
      <c r="J299" s="3" t="s">
        <v>1470</v>
      </c>
      <c r="K299" s="3" t="s">
        <v>1471</v>
      </c>
      <c r="L299" s="3" t="s">
        <v>64</v>
      </c>
      <c r="M299" s="3" t="s">
        <v>1472</v>
      </c>
      <c r="N299" s="3">
        <v>303.48340000000002</v>
      </c>
      <c r="O299" s="3" t="s">
        <v>1473</v>
      </c>
      <c r="P299" s="3" t="s">
        <v>25</v>
      </c>
      <c r="Q299" s="3" t="s">
        <v>4914</v>
      </c>
    </row>
    <row r="300" spans="1:17">
      <c r="A300" s="3">
        <v>793721</v>
      </c>
      <c r="B300" s="3" t="s">
        <v>1474</v>
      </c>
      <c r="C300" s="3" t="str">
        <f>"9780786463268"</f>
        <v>9780786463268</v>
      </c>
      <c r="D300" s="3" t="str">
        <f>"9780786484645"</f>
        <v>9780786484645</v>
      </c>
      <c r="E300" s="3" t="s">
        <v>828</v>
      </c>
      <c r="F300" s="3" t="s">
        <v>828</v>
      </c>
      <c r="G300" s="4">
        <v>40821</v>
      </c>
      <c r="H300" s="3" t="s">
        <v>20</v>
      </c>
      <c r="I300" s="3">
        <v>1</v>
      </c>
      <c r="J300" s="3"/>
      <c r="K300" s="3" t="s">
        <v>888</v>
      </c>
      <c r="L300" s="3" t="s">
        <v>64</v>
      </c>
      <c r="M300" s="3" t="s">
        <v>1475</v>
      </c>
      <c r="N300" s="3">
        <v>364.660979</v>
      </c>
      <c r="O300" s="3" t="s">
        <v>1476</v>
      </c>
      <c r="P300" s="3" t="s">
        <v>25</v>
      </c>
      <c r="Q300" s="3" t="s">
        <v>4915</v>
      </c>
    </row>
    <row r="301" spans="1:17">
      <c r="A301" s="3">
        <v>795225</v>
      </c>
      <c r="B301" s="3" t="s">
        <v>1477</v>
      </c>
      <c r="C301" s="3" t="str">
        <f>"9780826110794"</f>
        <v>9780826110794</v>
      </c>
      <c r="D301" s="3" t="str">
        <f>"9780826110800"</f>
        <v>9780826110800</v>
      </c>
      <c r="E301" s="3" t="s">
        <v>496</v>
      </c>
      <c r="F301" s="3" t="s">
        <v>496</v>
      </c>
      <c r="G301" s="4">
        <v>40544</v>
      </c>
      <c r="H301" s="3" t="s">
        <v>20</v>
      </c>
      <c r="I301" s="3">
        <v>1</v>
      </c>
      <c r="J301" s="3"/>
      <c r="K301" s="3" t="s">
        <v>1478</v>
      </c>
      <c r="L301" s="3" t="s">
        <v>514</v>
      </c>
      <c r="M301" s="3" t="s">
        <v>1479</v>
      </c>
      <c r="N301" s="3">
        <v>155</v>
      </c>
      <c r="O301" s="3" t="s">
        <v>1480</v>
      </c>
      <c r="P301" s="3" t="s">
        <v>25</v>
      </c>
      <c r="Q301" s="3" t="s">
        <v>4916</v>
      </c>
    </row>
    <row r="302" spans="1:17">
      <c r="A302" s="3">
        <v>798363</v>
      </c>
      <c r="B302" s="3" t="s">
        <v>1481</v>
      </c>
      <c r="C302" s="3" t="str">
        <f>"9781615306756"</f>
        <v>9781615306756</v>
      </c>
      <c r="D302" s="3" t="str">
        <f>"9781615307319"</f>
        <v>9781615307319</v>
      </c>
      <c r="E302" s="3" t="s">
        <v>983</v>
      </c>
      <c r="F302" s="3" t="s">
        <v>984</v>
      </c>
      <c r="G302" s="4">
        <v>40892</v>
      </c>
      <c r="H302" s="3" t="s">
        <v>20</v>
      </c>
      <c r="I302" s="3">
        <v>1</v>
      </c>
      <c r="J302" s="3" t="s">
        <v>1482</v>
      </c>
      <c r="K302" s="3" t="s">
        <v>1483</v>
      </c>
      <c r="L302" s="3" t="s">
        <v>1484</v>
      </c>
      <c r="M302" s="3" t="s">
        <v>1485</v>
      </c>
      <c r="N302" s="3">
        <v>612.4</v>
      </c>
      <c r="O302" s="3" t="s">
        <v>1486</v>
      </c>
      <c r="P302" s="3" t="s">
        <v>25</v>
      </c>
      <c r="Q302" s="3" t="s">
        <v>4917</v>
      </c>
    </row>
    <row r="303" spans="1:17">
      <c r="A303" s="3">
        <v>799955</v>
      </c>
      <c r="B303" s="3" t="s">
        <v>1487</v>
      </c>
      <c r="C303" s="3" t="str">
        <f>"9780826198549"</f>
        <v>9780826198549</v>
      </c>
      <c r="D303" s="3" t="str">
        <f>"9780826198556"</f>
        <v>9780826198556</v>
      </c>
      <c r="E303" s="3" t="s">
        <v>496</v>
      </c>
      <c r="F303" s="3" t="s">
        <v>496</v>
      </c>
      <c r="G303" s="4">
        <v>41091</v>
      </c>
      <c r="H303" s="3" t="s">
        <v>20</v>
      </c>
      <c r="I303" s="3">
        <v>1</v>
      </c>
      <c r="J303" s="3"/>
      <c r="K303" s="3" t="s">
        <v>1488</v>
      </c>
      <c r="L303" s="3" t="s">
        <v>204</v>
      </c>
      <c r="M303" s="3" t="s">
        <v>1489</v>
      </c>
      <c r="N303" s="3">
        <v>616.79999999999995</v>
      </c>
      <c r="O303" s="3" t="s">
        <v>1490</v>
      </c>
      <c r="P303" s="3" t="s">
        <v>25</v>
      </c>
      <c r="Q303" s="3" t="s">
        <v>4918</v>
      </c>
    </row>
    <row r="304" spans="1:17">
      <c r="A304" s="3">
        <v>800716</v>
      </c>
      <c r="B304" s="3" t="s">
        <v>1491</v>
      </c>
      <c r="C304" s="3" t="str">
        <f>"9780786464777"</f>
        <v>9780786464777</v>
      </c>
      <c r="D304" s="3" t="str">
        <f>"9780786486410"</f>
        <v>9780786486410</v>
      </c>
      <c r="E304" s="3" t="s">
        <v>828</v>
      </c>
      <c r="F304" s="3" t="s">
        <v>828</v>
      </c>
      <c r="G304" s="4">
        <v>40815</v>
      </c>
      <c r="H304" s="3" t="s">
        <v>20</v>
      </c>
      <c r="I304" s="3">
        <v>2</v>
      </c>
      <c r="J304" s="3"/>
      <c r="K304" s="3" t="s">
        <v>1492</v>
      </c>
      <c r="L304" s="3" t="s">
        <v>43</v>
      </c>
      <c r="M304" s="3" t="s">
        <v>1493</v>
      </c>
      <c r="N304" s="3" t="s">
        <v>1494</v>
      </c>
      <c r="O304" s="3" t="s">
        <v>1495</v>
      </c>
      <c r="P304" s="3" t="s">
        <v>25</v>
      </c>
      <c r="Q304" s="3" t="s">
        <v>4919</v>
      </c>
    </row>
    <row r="305" spans="1:17">
      <c r="A305" s="3">
        <v>800824</v>
      </c>
      <c r="B305" s="3" t="s">
        <v>1496</v>
      </c>
      <c r="C305" s="3" t="str">
        <f>"9780199582648"</f>
        <v>9780199582648</v>
      </c>
      <c r="D305" s="3" t="str">
        <f>"9780191618154"</f>
        <v>9780191618154</v>
      </c>
      <c r="E305" s="3" t="s">
        <v>910</v>
      </c>
      <c r="F305" s="3" t="s">
        <v>910</v>
      </c>
      <c r="G305" s="4">
        <v>40894</v>
      </c>
      <c r="H305" s="3" t="s">
        <v>20</v>
      </c>
      <c r="I305" s="3"/>
      <c r="J305" s="3"/>
      <c r="K305" s="3" t="s">
        <v>1497</v>
      </c>
      <c r="L305" s="3" t="s">
        <v>58</v>
      </c>
      <c r="M305" s="3" t="s">
        <v>1498</v>
      </c>
      <c r="N305" s="3">
        <v>929.10720409999999</v>
      </c>
      <c r="O305" s="3" t="s">
        <v>1499</v>
      </c>
      <c r="P305" s="3" t="s">
        <v>25</v>
      </c>
      <c r="Q305" s="3" t="s">
        <v>4920</v>
      </c>
    </row>
    <row r="306" spans="1:17">
      <c r="A306" s="3">
        <v>800833</v>
      </c>
      <c r="B306" s="3" t="s">
        <v>1500</v>
      </c>
      <c r="C306" s="3" t="str">
        <f>"9780199733446"</f>
        <v>9780199733446</v>
      </c>
      <c r="D306" s="3" t="str">
        <f>"9780199910175"</f>
        <v>9780199910175</v>
      </c>
      <c r="E306" s="3" t="s">
        <v>910</v>
      </c>
      <c r="F306" s="3" t="s">
        <v>910</v>
      </c>
      <c r="G306" s="4">
        <v>40872</v>
      </c>
      <c r="H306" s="3" t="s">
        <v>20</v>
      </c>
      <c r="I306" s="3"/>
      <c r="J306" s="3"/>
      <c r="K306" s="3" t="s">
        <v>1501</v>
      </c>
      <c r="L306" s="3" t="s">
        <v>118</v>
      </c>
      <c r="M306" s="3" t="s">
        <v>1502</v>
      </c>
      <c r="N306" s="3" t="s">
        <v>1503</v>
      </c>
      <c r="O306" s="3" t="s">
        <v>1504</v>
      </c>
      <c r="P306" s="3" t="s">
        <v>25</v>
      </c>
      <c r="Q306" s="3" t="s">
        <v>4921</v>
      </c>
    </row>
    <row r="307" spans="1:17">
      <c r="A307" s="3">
        <v>817324</v>
      </c>
      <c r="B307" s="3" t="s">
        <v>1505</v>
      </c>
      <c r="C307" s="3" t="str">
        <f>"9780470639061"</f>
        <v>9780470639061</v>
      </c>
      <c r="D307" s="3" t="str">
        <f>"9781118117941"</f>
        <v>9781118117941</v>
      </c>
      <c r="E307" s="3" t="s">
        <v>32</v>
      </c>
      <c r="F307" s="3" t="s">
        <v>32</v>
      </c>
      <c r="G307" s="4">
        <v>40890</v>
      </c>
      <c r="H307" s="3" t="s">
        <v>20</v>
      </c>
      <c r="I307" s="3">
        <v>1</v>
      </c>
      <c r="J307" s="3"/>
      <c r="K307" s="3" t="s">
        <v>1506</v>
      </c>
      <c r="L307" s="3" t="s">
        <v>199</v>
      </c>
      <c r="M307" s="3" t="s">
        <v>1507</v>
      </c>
      <c r="N307" s="3" t="s">
        <v>1508</v>
      </c>
      <c r="O307" s="3" t="s">
        <v>1509</v>
      </c>
      <c r="P307" s="3" t="s">
        <v>25</v>
      </c>
      <c r="Q307" s="3" t="s">
        <v>4922</v>
      </c>
    </row>
    <row r="308" spans="1:17">
      <c r="A308" s="3">
        <v>817357</v>
      </c>
      <c r="B308" s="3" t="s">
        <v>1510</v>
      </c>
      <c r="C308" s="3" t="str">
        <f>"9781118123744"</f>
        <v>9781118123744</v>
      </c>
      <c r="D308" s="3" t="str">
        <f>"9781118145678"</f>
        <v>9781118145678</v>
      </c>
      <c r="E308" s="3" t="s">
        <v>32</v>
      </c>
      <c r="F308" s="3" t="s">
        <v>530</v>
      </c>
      <c r="G308" s="4">
        <v>40932</v>
      </c>
      <c r="H308" s="3" t="s">
        <v>20</v>
      </c>
      <c r="I308" s="3">
        <v>2</v>
      </c>
      <c r="J308" s="3" t="s">
        <v>1511</v>
      </c>
      <c r="K308" s="3" t="s">
        <v>1512</v>
      </c>
      <c r="L308" s="3" t="s">
        <v>532</v>
      </c>
      <c r="M308" s="3" t="s">
        <v>1513</v>
      </c>
      <c r="N308" s="3" t="s">
        <v>1514</v>
      </c>
      <c r="O308" s="3" t="s">
        <v>1515</v>
      </c>
      <c r="P308" s="3" t="s">
        <v>25</v>
      </c>
      <c r="Q308" s="3" t="s">
        <v>4923</v>
      </c>
    </row>
    <row r="309" spans="1:17">
      <c r="A309" s="3">
        <v>817585</v>
      </c>
      <c r="B309" s="3" t="s">
        <v>1516</v>
      </c>
      <c r="C309" s="3" t="str">
        <f>"9780470257739"</f>
        <v>9780470257739</v>
      </c>
      <c r="D309" s="3" t="str">
        <f>"9781118189665"</f>
        <v>9781118189665</v>
      </c>
      <c r="E309" s="3" t="s">
        <v>637</v>
      </c>
      <c r="F309" s="3" t="s">
        <v>637</v>
      </c>
      <c r="G309" s="4">
        <v>41023</v>
      </c>
      <c r="H309" s="3" t="s">
        <v>20</v>
      </c>
      <c r="I309" s="3">
        <v>1</v>
      </c>
      <c r="J309" s="3"/>
      <c r="K309" s="3" t="s">
        <v>1517</v>
      </c>
      <c r="L309" s="3" t="s">
        <v>36</v>
      </c>
      <c r="M309" s="3" t="s">
        <v>1518</v>
      </c>
      <c r="N309" s="3">
        <v>658.30029999999999</v>
      </c>
      <c r="O309" s="3" t="s">
        <v>1519</v>
      </c>
      <c r="P309" s="3" t="s">
        <v>25</v>
      </c>
      <c r="Q309" s="3" t="s">
        <v>4924</v>
      </c>
    </row>
    <row r="310" spans="1:17">
      <c r="A310" s="3">
        <v>817586</v>
      </c>
      <c r="B310" s="3" t="s">
        <v>1520</v>
      </c>
      <c r="C310" s="3" t="str">
        <f>"9781118364727"</f>
        <v>9781118364727</v>
      </c>
      <c r="D310" s="3" t="str">
        <f>"9781118189719"</f>
        <v>9781118189719</v>
      </c>
      <c r="E310" s="3" t="s">
        <v>637</v>
      </c>
      <c r="F310" s="3" t="s">
        <v>637</v>
      </c>
      <c r="G310" s="4">
        <v>41023</v>
      </c>
      <c r="H310" s="3" t="s">
        <v>20</v>
      </c>
      <c r="I310" s="3">
        <v>1</v>
      </c>
      <c r="J310" s="3"/>
      <c r="K310" s="3" t="s">
        <v>1521</v>
      </c>
      <c r="L310" s="3" t="s">
        <v>36</v>
      </c>
      <c r="M310" s="3" t="s">
        <v>1522</v>
      </c>
      <c r="N310" s="3">
        <v>658.30029999999999</v>
      </c>
      <c r="O310" s="3" t="s">
        <v>1523</v>
      </c>
      <c r="P310" s="3" t="s">
        <v>25</v>
      </c>
      <c r="Q310" s="3" t="s">
        <v>4925</v>
      </c>
    </row>
    <row r="311" spans="1:17">
      <c r="A311" s="3">
        <v>817721</v>
      </c>
      <c r="B311" s="3" t="s">
        <v>1524</v>
      </c>
      <c r="C311" s="3" t="str">
        <f>"9780470905951"</f>
        <v>9780470905951</v>
      </c>
      <c r="D311" s="3" t="str">
        <f>"9781118196656"</f>
        <v>9781118196656</v>
      </c>
      <c r="E311" s="3" t="s">
        <v>32</v>
      </c>
      <c r="F311" s="3" t="s">
        <v>33</v>
      </c>
      <c r="G311" s="4">
        <v>40960</v>
      </c>
      <c r="H311" s="3" t="s">
        <v>20</v>
      </c>
      <c r="I311" s="3">
        <v>2</v>
      </c>
      <c r="J311" s="3"/>
      <c r="K311" s="3" t="s">
        <v>1525</v>
      </c>
      <c r="L311" s="3" t="s">
        <v>1105</v>
      </c>
      <c r="M311" s="3" t="s">
        <v>1526</v>
      </c>
      <c r="N311" s="3">
        <v>571.803</v>
      </c>
      <c r="O311" s="3" t="s">
        <v>1527</v>
      </c>
      <c r="P311" s="3" t="s">
        <v>25</v>
      </c>
      <c r="Q311" s="3" t="s">
        <v>4926</v>
      </c>
    </row>
    <row r="312" spans="1:17">
      <c r="A312" s="3">
        <v>817869</v>
      </c>
      <c r="B312" s="3" t="s">
        <v>1528</v>
      </c>
      <c r="C312" s="3" t="str">
        <f>"9781118084625"</f>
        <v>9781118084625</v>
      </c>
      <c r="D312" s="3" t="str">
        <f>"9781118206799"</f>
        <v>9781118206799</v>
      </c>
      <c r="E312" s="3" t="s">
        <v>637</v>
      </c>
      <c r="F312" s="3" t="s">
        <v>637</v>
      </c>
      <c r="G312" s="4">
        <v>40974</v>
      </c>
      <c r="H312" s="3" t="s">
        <v>20</v>
      </c>
      <c r="I312" s="3">
        <v>1</v>
      </c>
      <c r="J312" s="3"/>
      <c r="K312" s="3" t="s">
        <v>1529</v>
      </c>
      <c r="L312" s="3" t="s">
        <v>64</v>
      </c>
      <c r="M312" s="3" t="s">
        <v>1530</v>
      </c>
      <c r="N312" s="3" t="s">
        <v>1531</v>
      </c>
      <c r="O312" s="3" t="s">
        <v>1532</v>
      </c>
      <c r="P312" s="3" t="s">
        <v>25</v>
      </c>
      <c r="Q312" s="3" t="s">
        <v>4927</v>
      </c>
    </row>
    <row r="313" spans="1:17">
      <c r="A313" s="3">
        <v>819283</v>
      </c>
      <c r="B313" s="3" t="s">
        <v>1533</v>
      </c>
      <c r="C313" s="3" t="str">
        <f>"9780470699751"</f>
        <v>9780470699751</v>
      </c>
      <c r="D313" s="3" t="str">
        <f>"9781119993926"</f>
        <v>9781119993926</v>
      </c>
      <c r="E313" s="3" t="s">
        <v>32</v>
      </c>
      <c r="F313" s="3" t="s">
        <v>32</v>
      </c>
      <c r="G313" s="4">
        <v>40707</v>
      </c>
      <c r="H313" s="3" t="s">
        <v>20</v>
      </c>
      <c r="I313" s="3">
        <v>2</v>
      </c>
      <c r="J313" s="3"/>
      <c r="K313" s="3" t="s">
        <v>1534</v>
      </c>
      <c r="L313" s="3" t="s">
        <v>1535</v>
      </c>
      <c r="M313" s="3" t="s">
        <v>1536</v>
      </c>
      <c r="N313" s="3">
        <v>621.45000000000005</v>
      </c>
      <c r="O313" s="3" t="s">
        <v>1537</v>
      </c>
      <c r="P313" s="3" t="s">
        <v>25</v>
      </c>
      <c r="Q313" s="3" t="s">
        <v>4928</v>
      </c>
    </row>
    <row r="314" spans="1:17">
      <c r="A314" s="3">
        <v>819341</v>
      </c>
      <c r="B314" s="3" t="s">
        <v>1538</v>
      </c>
      <c r="C314" s="3" t="str">
        <f>"9781405195430"</f>
        <v>9781405195430</v>
      </c>
      <c r="D314" s="3" t="str">
        <f>"9781444397727"</f>
        <v>9781444397727</v>
      </c>
      <c r="E314" s="3" t="s">
        <v>32</v>
      </c>
      <c r="F314" s="3" t="s">
        <v>33</v>
      </c>
      <c r="G314" s="4">
        <v>40714</v>
      </c>
      <c r="H314" s="3" t="s">
        <v>20</v>
      </c>
      <c r="I314" s="3">
        <v>2</v>
      </c>
      <c r="J314" s="3"/>
      <c r="K314" s="3" t="s">
        <v>1539</v>
      </c>
      <c r="L314" s="3" t="s">
        <v>1540</v>
      </c>
      <c r="M314" s="3" t="s">
        <v>1541</v>
      </c>
      <c r="N314" s="3">
        <v>664.06</v>
      </c>
      <c r="O314" s="3" t="s">
        <v>1542</v>
      </c>
      <c r="P314" s="3" t="s">
        <v>25</v>
      </c>
      <c r="Q314" s="3" t="s">
        <v>4929</v>
      </c>
    </row>
    <row r="315" spans="1:17">
      <c r="A315" s="3">
        <v>819353</v>
      </c>
      <c r="B315" s="3" t="s">
        <v>1543</v>
      </c>
      <c r="C315" s="3" t="str">
        <f>"9781405190763"</f>
        <v>9781405190763</v>
      </c>
      <c r="D315" s="3" t="str">
        <f>"9781444356175"</f>
        <v>9781444356175</v>
      </c>
      <c r="E315" s="3" t="s">
        <v>32</v>
      </c>
      <c r="F315" s="3" t="s">
        <v>33</v>
      </c>
      <c r="G315" s="4">
        <v>39868</v>
      </c>
      <c r="H315" s="3" t="s">
        <v>20</v>
      </c>
      <c r="I315" s="3">
        <v>1</v>
      </c>
      <c r="J315" s="3" t="s">
        <v>186</v>
      </c>
      <c r="K315" s="3" t="s">
        <v>1544</v>
      </c>
      <c r="L315" s="3" t="s">
        <v>182</v>
      </c>
      <c r="M315" s="3" t="s">
        <v>1545</v>
      </c>
      <c r="N315" s="3">
        <v>193</v>
      </c>
      <c r="O315" s="3" t="s">
        <v>1546</v>
      </c>
      <c r="P315" s="3" t="s">
        <v>25</v>
      </c>
      <c r="Q315" s="3" t="s">
        <v>4930</v>
      </c>
    </row>
    <row r="316" spans="1:17">
      <c r="A316" s="3">
        <v>819360</v>
      </c>
      <c r="B316" s="3" t="s">
        <v>1547</v>
      </c>
      <c r="C316" s="3" t="str">
        <f>"9781405191135"</f>
        <v>9781405191135</v>
      </c>
      <c r="D316" s="3" t="str">
        <f>"9781444356564"</f>
        <v>9781444356564</v>
      </c>
      <c r="E316" s="3" t="s">
        <v>32</v>
      </c>
      <c r="F316" s="3" t="s">
        <v>33</v>
      </c>
      <c r="G316" s="4">
        <v>39923</v>
      </c>
      <c r="H316" s="3" t="s">
        <v>20</v>
      </c>
      <c r="I316" s="3">
        <v>1</v>
      </c>
      <c r="J316" s="3" t="s">
        <v>186</v>
      </c>
      <c r="K316" s="3" t="s">
        <v>1548</v>
      </c>
      <c r="L316" s="3" t="s">
        <v>182</v>
      </c>
      <c r="M316" s="3" t="s">
        <v>1549</v>
      </c>
      <c r="N316" s="3" t="s">
        <v>1550</v>
      </c>
      <c r="O316" s="3" t="s">
        <v>1551</v>
      </c>
      <c r="P316" s="3" t="s">
        <v>25</v>
      </c>
      <c r="Q316" s="3" t="s">
        <v>4931</v>
      </c>
    </row>
    <row r="317" spans="1:17">
      <c r="A317" s="3">
        <v>819361</v>
      </c>
      <c r="B317" s="3" t="s">
        <v>1552</v>
      </c>
      <c r="C317" s="3" t="str">
        <f>"9781405192781"</f>
        <v>9781405192781</v>
      </c>
      <c r="D317" s="3" t="str">
        <f>"9781444356588"</f>
        <v>9781444356588</v>
      </c>
      <c r="E317" s="3" t="s">
        <v>32</v>
      </c>
      <c r="F317" s="3" t="s">
        <v>33</v>
      </c>
      <c r="G317" s="4">
        <v>39244</v>
      </c>
      <c r="H317" s="3" t="s">
        <v>20</v>
      </c>
      <c r="I317" s="3">
        <v>1</v>
      </c>
      <c r="J317" s="3" t="s">
        <v>398</v>
      </c>
      <c r="K317" s="3" t="s">
        <v>1553</v>
      </c>
      <c r="L317" s="3" t="s">
        <v>616</v>
      </c>
      <c r="M317" s="3" t="s">
        <v>1554</v>
      </c>
      <c r="N317" s="3">
        <v>2.09</v>
      </c>
      <c r="O317" s="3" t="s">
        <v>1555</v>
      </c>
      <c r="P317" s="3" t="s">
        <v>25</v>
      </c>
      <c r="Q317" s="3" t="s">
        <v>4932</v>
      </c>
    </row>
    <row r="318" spans="1:17">
      <c r="A318" s="3">
        <v>819370</v>
      </c>
      <c r="B318" s="3" t="s">
        <v>1556</v>
      </c>
      <c r="C318" s="3" t="str">
        <f>"9781405176613"</f>
        <v>9781405176613</v>
      </c>
      <c r="D318" s="3" t="str">
        <f>"9781444357134"</f>
        <v>9781444357134</v>
      </c>
      <c r="E318" s="3" t="s">
        <v>32</v>
      </c>
      <c r="F318" s="3" t="s">
        <v>33</v>
      </c>
      <c r="G318" s="4">
        <v>38765</v>
      </c>
      <c r="H318" s="3" t="s">
        <v>20</v>
      </c>
      <c r="I318" s="3">
        <v>1</v>
      </c>
      <c r="J318" s="3" t="s">
        <v>1557</v>
      </c>
      <c r="K318" s="3" t="s">
        <v>1558</v>
      </c>
      <c r="L318" s="3" t="s">
        <v>74</v>
      </c>
      <c r="M318" s="3" t="s">
        <v>1559</v>
      </c>
      <c r="N318" s="3">
        <v>305.23099999999999</v>
      </c>
      <c r="O318" s="3" t="s">
        <v>1560</v>
      </c>
      <c r="P318" s="3" t="s">
        <v>25</v>
      </c>
      <c r="Q318" s="3" t="s">
        <v>4933</v>
      </c>
    </row>
    <row r="319" spans="1:17">
      <c r="A319" s="3">
        <v>819371</v>
      </c>
      <c r="B319" s="3" t="s">
        <v>1561</v>
      </c>
      <c r="C319" s="3" t="str">
        <f>"9781444334135"</f>
        <v>9781444334135</v>
      </c>
      <c r="D319" s="3" t="str">
        <f>"9781444357202"</f>
        <v>9781444357202</v>
      </c>
      <c r="E319" s="3" t="s">
        <v>32</v>
      </c>
      <c r="F319" s="3" t="s">
        <v>33</v>
      </c>
      <c r="G319" s="4">
        <v>40210</v>
      </c>
      <c r="H319" s="3" t="s">
        <v>20</v>
      </c>
      <c r="I319" s="3">
        <v>1</v>
      </c>
      <c r="J319" s="3" t="s">
        <v>111</v>
      </c>
      <c r="K319" s="3" t="s">
        <v>1562</v>
      </c>
      <c r="L319" s="3" t="s">
        <v>58</v>
      </c>
      <c r="M319" s="3" t="s">
        <v>1563</v>
      </c>
      <c r="N319" s="3">
        <v>937.02</v>
      </c>
      <c r="O319" s="3" t="s">
        <v>1564</v>
      </c>
      <c r="P319" s="3" t="s">
        <v>25</v>
      </c>
      <c r="Q319" s="3" t="s">
        <v>4934</v>
      </c>
    </row>
    <row r="320" spans="1:17">
      <c r="A320" s="3">
        <v>819372</v>
      </c>
      <c r="B320" s="3" t="s">
        <v>1565</v>
      </c>
      <c r="C320" s="3" t="str">
        <f>"9781405198783"</f>
        <v>9781405198783</v>
      </c>
      <c r="D320" s="3" t="str">
        <f>"9781444357226"</f>
        <v>9781444357226</v>
      </c>
      <c r="E320" s="3" t="s">
        <v>32</v>
      </c>
      <c r="F320" s="3" t="s">
        <v>33</v>
      </c>
      <c r="G320" s="4">
        <v>40793</v>
      </c>
      <c r="H320" s="3" t="s">
        <v>20</v>
      </c>
      <c r="I320" s="3">
        <v>1</v>
      </c>
      <c r="J320" s="3" t="s">
        <v>122</v>
      </c>
      <c r="K320" s="3" t="s">
        <v>1566</v>
      </c>
      <c r="L320" s="3" t="s">
        <v>43</v>
      </c>
      <c r="M320" s="3" t="s">
        <v>1567</v>
      </c>
      <c r="N320" s="3">
        <v>709.02</v>
      </c>
      <c r="O320" s="3" t="s">
        <v>1568</v>
      </c>
      <c r="P320" s="3" t="s">
        <v>25</v>
      </c>
      <c r="Q320" s="3" t="s">
        <v>4935</v>
      </c>
    </row>
    <row r="321" spans="1:17">
      <c r="A321" s="3">
        <v>819387</v>
      </c>
      <c r="B321" s="3" t="s">
        <v>1569</v>
      </c>
      <c r="C321" s="3" t="str">
        <f>"9781444334050"</f>
        <v>9781444334050</v>
      </c>
      <c r="D321" s="3" t="str">
        <f>"9781444357943"</f>
        <v>9781444357943</v>
      </c>
      <c r="E321" s="3" t="s">
        <v>32</v>
      </c>
      <c r="F321" s="3" t="s">
        <v>33</v>
      </c>
      <c r="G321" s="4">
        <v>40399</v>
      </c>
      <c r="H321" s="3" t="s">
        <v>20</v>
      </c>
      <c r="I321" s="3">
        <v>1</v>
      </c>
      <c r="J321" s="3" t="s">
        <v>223</v>
      </c>
      <c r="K321" s="3" t="s">
        <v>1570</v>
      </c>
      <c r="L321" s="3" t="s">
        <v>1571</v>
      </c>
      <c r="M321" s="3" t="s">
        <v>1572</v>
      </c>
      <c r="N321" s="3">
        <v>69</v>
      </c>
      <c r="O321" s="3" t="s">
        <v>1573</v>
      </c>
      <c r="P321" s="3" t="s">
        <v>25</v>
      </c>
      <c r="Q321" s="3" t="s">
        <v>4936</v>
      </c>
    </row>
    <row r="322" spans="1:17">
      <c r="A322" s="3">
        <v>819470</v>
      </c>
      <c r="B322" s="3" t="s">
        <v>1574</v>
      </c>
      <c r="C322" s="3" t="str">
        <f>"9781444338829"</f>
        <v>9781444338829</v>
      </c>
      <c r="D322" s="3" t="str">
        <f>"9781444391626"</f>
        <v>9781444391626</v>
      </c>
      <c r="E322" s="3" t="s">
        <v>32</v>
      </c>
      <c r="F322" s="3" t="s">
        <v>33</v>
      </c>
      <c r="G322" s="4">
        <v>38387</v>
      </c>
      <c r="H322" s="3" t="s">
        <v>20</v>
      </c>
      <c r="I322" s="3">
        <v>1</v>
      </c>
      <c r="J322" s="3" t="s">
        <v>301</v>
      </c>
      <c r="K322" s="3" t="s">
        <v>1575</v>
      </c>
      <c r="L322" s="3" t="s">
        <v>58</v>
      </c>
      <c r="M322" s="3" t="s">
        <v>1576</v>
      </c>
      <c r="N322" s="3">
        <v>973.7</v>
      </c>
      <c r="O322" s="3" t="s">
        <v>1211</v>
      </c>
      <c r="P322" s="3" t="s">
        <v>25</v>
      </c>
      <c r="Q322" s="3" t="s">
        <v>4937</v>
      </c>
    </row>
    <row r="323" spans="1:17">
      <c r="A323" s="3">
        <v>819471</v>
      </c>
      <c r="B323" s="3" t="s">
        <v>1577</v>
      </c>
      <c r="C323" s="3" t="str">
        <f>"9781444338836"</f>
        <v>9781444338836</v>
      </c>
      <c r="D323" s="3" t="str">
        <f>"9781444391657"</f>
        <v>9781444391657</v>
      </c>
      <c r="E323" s="3" t="s">
        <v>32</v>
      </c>
      <c r="F323" s="3" t="s">
        <v>33</v>
      </c>
      <c r="G323" s="4">
        <v>38758</v>
      </c>
      <c r="H323" s="3" t="s">
        <v>20</v>
      </c>
      <c r="I323" s="3">
        <v>1</v>
      </c>
      <c r="J323" s="3" t="s">
        <v>301</v>
      </c>
      <c r="K323" s="3" t="s">
        <v>1578</v>
      </c>
      <c r="L323" s="3" t="s">
        <v>1579</v>
      </c>
      <c r="M323" s="3" t="s">
        <v>1580</v>
      </c>
      <c r="N323" s="3" t="s">
        <v>1581</v>
      </c>
      <c r="O323" s="3" t="s">
        <v>1582</v>
      </c>
      <c r="P323" s="3" t="s">
        <v>25</v>
      </c>
      <c r="Q323" s="3" t="s">
        <v>4938</v>
      </c>
    </row>
    <row r="324" spans="1:17">
      <c r="A324" s="3">
        <v>819472</v>
      </c>
      <c r="B324" s="3" t="s">
        <v>1583</v>
      </c>
      <c r="C324" s="3" t="str">
        <f>"9781444338409"</f>
        <v>9781444338409</v>
      </c>
      <c r="D324" s="3" t="str">
        <f>"9781444391671"</f>
        <v>9781444391671</v>
      </c>
      <c r="E324" s="3" t="s">
        <v>32</v>
      </c>
      <c r="F324" s="3" t="s">
        <v>33</v>
      </c>
      <c r="G324" s="4">
        <v>38730</v>
      </c>
      <c r="H324" s="3" t="s">
        <v>20</v>
      </c>
      <c r="I324" s="3">
        <v>1</v>
      </c>
      <c r="J324" s="3" t="s">
        <v>1584</v>
      </c>
      <c r="K324" s="3" t="s">
        <v>1585</v>
      </c>
      <c r="L324" s="3" t="s">
        <v>58</v>
      </c>
      <c r="M324" s="3" t="s">
        <v>1586</v>
      </c>
      <c r="N324" s="3">
        <v>940.5</v>
      </c>
      <c r="O324" s="3" t="s">
        <v>1587</v>
      </c>
      <c r="P324" s="3" t="s">
        <v>25</v>
      </c>
      <c r="Q324" s="3" t="s">
        <v>4939</v>
      </c>
    </row>
    <row r="325" spans="1:17">
      <c r="A325" s="3">
        <v>819473</v>
      </c>
      <c r="B325" s="3" t="s">
        <v>1588</v>
      </c>
      <c r="C325" s="3" t="str">
        <f>"9781444339215"</f>
        <v>9781444339215</v>
      </c>
      <c r="D325" s="3" t="str">
        <f>"9781444393767"</f>
        <v>9781444393767</v>
      </c>
      <c r="E325" s="3" t="s">
        <v>32</v>
      </c>
      <c r="F325" s="3" t="s">
        <v>33</v>
      </c>
      <c r="G325" s="4">
        <v>40525</v>
      </c>
      <c r="H325" s="3" t="s">
        <v>20</v>
      </c>
      <c r="I325" s="3">
        <v>1</v>
      </c>
      <c r="J325" s="3" t="s">
        <v>111</v>
      </c>
      <c r="K325" s="3" t="s">
        <v>1589</v>
      </c>
      <c r="L325" s="3" t="s">
        <v>1590</v>
      </c>
      <c r="M325" s="3" t="s">
        <v>1591</v>
      </c>
      <c r="N325" s="3">
        <v>355.00936999999999</v>
      </c>
      <c r="O325" s="3" t="s">
        <v>1592</v>
      </c>
      <c r="P325" s="3" t="s">
        <v>25</v>
      </c>
      <c r="Q325" s="3" t="s">
        <v>4940</v>
      </c>
    </row>
    <row r="326" spans="1:17">
      <c r="A326" s="3">
        <v>821673</v>
      </c>
      <c r="B326" s="3" t="s">
        <v>1593</v>
      </c>
      <c r="C326" s="3" t="str">
        <f>"9780470257715"</f>
        <v>9780470257715</v>
      </c>
      <c r="D326" s="3" t="str">
        <f>"9781118189726"</f>
        <v>9781118189726</v>
      </c>
      <c r="E326" s="3" t="s">
        <v>637</v>
      </c>
      <c r="F326" s="3" t="s">
        <v>637</v>
      </c>
      <c r="G326" s="4">
        <v>41023</v>
      </c>
      <c r="H326" s="3" t="s">
        <v>20</v>
      </c>
      <c r="I326" s="3">
        <v>1</v>
      </c>
      <c r="J326" s="3"/>
      <c r="K326" s="3" t="s">
        <v>1594</v>
      </c>
      <c r="L326" s="3" t="s">
        <v>36</v>
      </c>
      <c r="M326" s="3" t="s">
        <v>1595</v>
      </c>
      <c r="N326" s="3">
        <v>658.30029999999999</v>
      </c>
      <c r="O326" s="3" t="s">
        <v>1519</v>
      </c>
      <c r="P326" s="3" t="s">
        <v>25</v>
      </c>
      <c r="Q326" s="3" t="s">
        <v>4941</v>
      </c>
    </row>
    <row r="327" spans="1:17">
      <c r="A327" s="3">
        <v>821807</v>
      </c>
      <c r="B327" s="3" t="s">
        <v>1596</v>
      </c>
      <c r="C327" s="3" t="str">
        <f>"9781118115886"</f>
        <v>9781118115886</v>
      </c>
      <c r="D327" s="3" t="str">
        <f>"9781118224403"</f>
        <v>9781118224403</v>
      </c>
      <c r="E327" s="3" t="s">
        <v>32</v>
      </c>
      <c r="F327" s="3" t="s">
        <v>32</v>
      </c>
      <c r="G327" s="4">
        <v>41030</v>
      </c>
      <c r="H327" s="3" t="s">
        <v>20</v>
      </c>
      <c r="I327" s="3">
        <v>5</v>
      </c>
      <c r="J327" s="3"/>
      <c r="K327" s="3" t="s">
        <v>1597</v>
      </c>
      <c r="L327" s="3" t="s">
        <v>36</v>
      </c>
      <c r="M327" s="3" t="s">
        <v>1598</v>
      </c>
      <c r="N327" s="3">
        <v>657</v>
      </c>
      <c r="O327" s="3" t="s">
        <v>1599</v>
      </c>
      <c r="P327" s="3" t="s">
        <v>25</v>
      </c>
      <c r="Q327" s="3" t="s">
        <v>4942</v>
      </c>
    </row>
    <row r="328" spans="1:17">
      <c r="A328" s="3">
        <v>822419</v>
      </c>
      <c r="B328" s="3" t="s">
        <v>1600</v>
      </c>
      <c r="C328" s="3" t="str">
        <f>"9780470184769"</f>
        <v>9780470184769</v>
      </c>
      <c r="D328" s="3" t="str">
        <f>"9781118174692"</f>
        <v>9781118174692</v>
      </c>
      <c r="E328" s="3" t="s">
        <v>32</v>
      </c>
      <c r="F328" s="3" t="s">
        <v>32</v>
      </c>
      <c r="G328" s="4">
        <v>39797</v>
      </c>
      <c r="H328" s="3" t="s">
        <v>20</v>
      </c>
      <c r="I328" s="3">
        <v>2</v>
      </c>
      <c r="J328" s="3"/>
      <c r="K328" s="3" t="s">
        <v>1601</v>
      </c>
      <c r="L328" s="3" t="s">
        <v>43</v>
      </c>
      <c r="M328" s="3" t="s">
        <v>1602</v>
      </c>
      <c r="N328" s="3">
        <v>741.60688000000005</v>
      </c>
      <c r="O328" s="3" t="s">
        <v>1603</v>
      </c>
      <c r="P328" s="3" t="s">
        <v>25</v>
      </c>
      <c r="Q328" s="3" t="s">
        <v>4943</v>
      </c>
    </row>
    <row r="329" spans="1:17">
      <c r="A329" s="3">
        <v>822485</v>
      </c>
      <c r="B329" s="3" t="s">
        <v>1604</v>
      </c>
      <c r="C329" s="3" t="str">
        <f>"9781119968702"</f>
        <v>9781119968702</v>
      </c>
      <c r="D329" s="3" t="str">
        <f>"9781444323641"</f>
        <v>9781444323641</v>
      </c>
      <c r="E329" s="3" t="s">
        <v>32</v>
      </c>
      <c r="F329" s="3" t="s">
        <v>33</v>
      </c>
      <c r="G329" s="4">
        <v>40315</v>
      </c>
      <c r="H329" s="3" t="s">
        <v>20</v>
      </c>
      <c r="I329" s="3">
        <v>1</v>
      </c>
      <c r="J329" s="3" t="s">
        <v>455</v>
      </c>
      <c r="K329" s="3" t="s">
        <v>1605</v>
      </c>
      <c r="L329" s="3" t="s">
        <v>58</v>
      </c>
      <c r="M329" s="3" t="s">
        <v>1606</v>
      </c>
      <c r="N329" s="3">
        <v>940.3</v>
      </c>
      <c r="O329" s="3" t="s">
        <v>1607</v>
      </c>
      <c r="P329" s="3" t="s">
        <v>25</v>
      </c>
      <c r="Q329" s="3" t="s">
        <v>4944</v>
      </c>
    </row>
    <row r="330" spans="1:17">
      <c r="A330" s="3">
        <v>822649</v>
      </c>
      <c r="B330" s="3" t="s">
        <v>1608</v>
      </c>
      <c r="C330" s="3" t="str">
        <f>"9781444330397"</f>
        <v>9781444330397</v>
      </c>
      <c r="D330" s="3" t="str">
        <f>"9781444347357"</f>
        <v>9781444347357</v>
      </c>
      <c r="E330" s="3" t="s">
        <v>32</v>
      </c>
      <c r="F330" s="3" t="s">
        <v>33</v>
      </c>
      <c r="G330" s="4">
        <v>40925</v>
      </c>
      <c r="H330" s="3" t="s">
        <v>20</v>
      </c>
      <c r="I330" s="3">
        <v>1</v>
      </c>
      <c r="J330" s="3" t="s">
        <v>410</v>
      </c>
      <c r="K330" s="3" t="s">
        <v>1609</v>
      </c>
      <c r="L330" s="3" t="s">
        <v>64</v>
      </c>
      <c r="M330" s="3" t="s">
        <v>1610</v>
      </c>
      <c r="N330" s="3">
        <v>301</v>
      </c>
      <c r="O330" s="3" t="s">
        <v>1611</v>
      </c>
      <c r="P330" s="3" t="s">
        <v>25</v>
      </c>
      <c r="Q330" s="3" t="s">
        <v>4945</v>
      </c>
    </row>
    <row r="331" spans="1:17">
      <c r="A331" s="3">
        <v>822656</v>
      </c>
      <c r="B331" s="3" t="s">
        <v>1612</v>
      </c>
      <c r="C331" s="3" t="str">
        <f>"9781444334500"</f>
        <v>9781444334500</v>
      </c>
      <c r="D331" s="3" t="str">
        <f>"9781444354089"</f>
        <v>9781444354089</v>
      </c>
      <c r="E331" s="3" t="s">
        <v>32</v>
      </c>
      <c r="F331" s="3" t="s">
        <v>33</v>
      </c>
      <c r="G331" s="4">
        <v>40959</v>
      </c>
      <c r="H331" s="3" t="s">
        <v>20</v>
      </c>
      <c r="I331" s="3">
        <v>1</v>
      </c>
      <c r="J331" s="3"/>
      <c r="K331" s="3" t="s">
        <v>1613</v>
      </c>
      <c r="L331" s="3" t="s">
        <v>64</v>
      </c>
      <c r="M331" s="3" t="s">
        <v>1614</v>
      </c>
      <c r="N331" s="3">
        <v>306.85000000000002</v>
      </c>
      <c r="O331" s="3" t="s">
        <v>1615</v>
      </c>
      <c r="P331" s="3" t="s">
        <v>25</v>
      </c>
      <c r="Q331" s="3" t="s">
        <v>4946</v>
      </c>
    </row>
    <row r="332" spans="1:17">
      <c r="A332" s="3">
        <v>822663</v>
      </c>
      <c r="B332" s="3" t="s">
        <v>1616</v>
      </c>
      <c r="C332" s="3" t="str">
        <f>"9781444333343"</f>
        <v>9781444333343</v>
      </c>
      <c r="D332" s="3" t="str">
        <f>"9781444355291"</f>
        <v>9781444355291</v>
      </c>
      <c r="E332" s="3" t="s">
        <v>32</v>
      </c>
      <c r="F332" s="3" t="s">
        <v>33</v>
      </c>
      <c r="G332" s="4">
        <v>40854</v>
      </c>
      <c r="H332" s="3" t="s">
        <v>20</v>
      </c>
      <c r="I332" s="3">
        <v>1</v>
      </c>
      <c r="J332" s="3"/>
      <c r="K332" s="3" t="s">
        <v>1617</v>
      </c>
      <c r="L332" s="3" t="s">
        <v>1326</v>
      </c>
      <c r="M332" s="3" t="s">
        <v>1618</v>
      </c>
      <c r="N332" s="3" t="s">
        <v>1619</v>
      </c>
      <c r="O332" s="3" t="s">
        <v>1620</v>
      </c>
      <c r="P332" s="3" t="s">
        <v>25</v>
      </c>
      <c r="Q332" s="3" t="s">
        <v>4947</v>
      </c>
    </row>
    <row r="333" spans="1:17">
      <c r="A333" s="3">
        <v>829377</v>
      </c>
      <c r="B333" s="3" t="s">
        <v>1621</v>
      </c>
      <c r="C333" s="3" t="str">
        <f>"9780199826902"</f>
        <v>9780199826902</v>
      </c>
      <c r="D333" s="3" t="str">
        <f>"9780199909551"</f>
        <v>9780199909551</v>
      </c>
      <c r="E333" s="3" t="s">
        <v>910</v>
      </c>
      <c r="F333" s="3" t="s">
        <v>910</v>
      </c>
      <c r="G333" s="4">
        <v>40879</v>
      </c>
      <c r="H333" s="3" t="s">
        <v>20</v>
      </c>
      <c r="I333" s="3"/>
      <c r="J333" s="3"/>
      <c r="K333" s="3" t="s">
        <v>1622</v>
      </c>
      <c r="L333" s="3" t="s">
        <v>1623</v>
      </c>
      <c r="M333" s="3" t="s">
        <v>1624</v>
      </c>
      <c r="N333" s="3" t="s">
        <v>1625</v>
      </c>
      <c r="O333" s="3" t="s">
        <v>1626</v>
      </c>
      <c r="P333" s="3" t="s">
        <v>25</v>
      </c>
      <c r="Q333" s="3" t="s">
        <v>4948</v>
      </c>
    </row>
    <row r="334" spans="1:17">
      <c r="A334" s="3">
        <v>829381</v>
      </c>
      <c r="B334" s="3" t="s">
        <v>1627</v>
      </c>
      <c r="C334" s="3" t="str">
        <f>"9780195380156"</f>
        <v>9780195380156</v>
      </c>
      <c r="D334" s="3" t="str">
        <f>"9780199701681"</f>
        <v>9780199701681</v>
      </c>
      <c r="E334" s="3" t="s">
        <v>910</v>
      </c>
      <c r="F334" s="3" t="s">
        <v>910</v>
      </c>
      <c r="G334" s="4">
        <v>41117</v>
      </c>
      <c r="H334" s="3" t="s">
        <v>20</v>
      </c>
      <c r="I334" s="3"/>
      <c r="J334" s="3" t="s">
        <v>1013</v>
      </c>
      <c r="K334" s="3" t="s">
        <v>1628</v>
      </c>
      <c r="L334" s="3" t="s">
        <v>1629</v>
      </c>
      <c r="M334" s="3" t="s">
        <v>1630</v>
      </c>
      <c r="N334" s="3" t="s">
        <v>1631</v>
      </c>
      <c r="O334" s="3" t="s">
        <v>1632</v>
      </c>
      <c r="P334" s="3" t="s">
        <v>25</v>
      </c>
      <c r="Q334" s="3" t="s">
        <v>4949</v>
      </c>
    </row>
    <row r="335" spans="1:17">
      <c r="A335" s="3">
        <v>829477</v>
      </c>
      <c r="B335" s="3" t="s">
        <v>1633</v>
      </c>
      <c r="C335" s="3" t="str">
        <f>"9780195379471"</f>
        <v>9780195379471</v>
      </c>
      <c r="D335" s="3" t="str">
        <f>"9780199702138"</f>
        <v>9780199702138</v>
      </c>
      <c r="E335" s="3" t="s">
        <v>910</v>
      </c>
      <c r="F335" s="3" t="s">
        <v>910</v>
      </c>
      <c r="G335" s="4">
        <v>40912</v>
      </c>
      <c r="H335" s="3" t="s">
        <v>20</v>
      </c>
      <c r="I335" s="3"/>
      <c r="J335" s="3"/>
      <c r="K335" s="3" t="s">
        <v>1634</v>
      </c>
      <c r="L335" s="3" t="s">
        <v>64</v>
      </c>
      <c r="M335" s="3" t="s">
        <v>1635</v>
      </c>
      <c r="N335" s="3">
        <v>302.3</v>
      </c>
      <c r="O335" s="3" t="s">
        <v>1636</v>
      </c>
      <c r="P335" s="3" t="s">
        <v>25</v>
      </c>
      <c r="Q335" s="3" t="s">
        <v>4950</v>
      </c>
    </row>
    <row r="336" spans="1:17">
      <c r="A336" s="3">
        <v>832569</v>
      </c>
      <c r="B336" s="3" t="s">
        <v>1637</v>
      </c>
      <c r="C336" s="3" t="str">
        <f>"9781118027776"</f>
        <v>9781118027776</v>
      </c>
      <c r="D336" s="3" t="str">
        <f>"9781118218556"</f>
        <v>9781118218556</v>
      </c>
      <c r="E336" s="3" t="s">
        <v>32</v>
      </c>
      <c r="F336" s="3" t="s">
        <v>530</v>
      </c>
      <c r="G336" s="4">
        <v>41030</v>
      </c>
      <c r="H336" s="3" t="s">
        <v>20</v>
      </c>
      <c r="I336" s="3">
        <v>1</v>
      </c>
      <c r="J336" s="3" t="s">
        <v>1054</v>
      </c>
      <c r="K336" s="3" t="s">
        <v>1638</v>
      </c>
      <c r="L336" s="3" t="s">
        <v>532</v>
      </c>
      <c r="M336" s="3" t="s">
        <v>1639</v>
      </c>
      <c r="N336" s="3">
        <v>370.15097300000002</v>
      </c>
      <c r="O336" s="3" t="s">
        <v>1640</v>
      </c>
      <c r="P336" s="3" t="s">
        <v>25</v>
      </c>
      <c r="Q336" s="3" t="s">
        <v>4951</v>
      </c>
    </row>
    <row r="337" spans="1:17">
      <c r="A337" s="3">
        <v>832595</v>
      </c>
      <c r="B337" s="3" t="s">
        <v>1641</v>
      </c>
      <c r="C337" s="3" t="str">
        <f>"9781118270035"</f>
        <v>9781118270035</v>
      </c>
      <c r="D337" s="3" t="str">
        <f>"9781118287255"</f>
        <v>9781118287255</v>
      </c>
      <c r="E337" s="3" t="s">
        <v>32</v>
      </c>
      <c r="F337" s="3" t="s">
        <v>491</v>
      </c>
      <c r="G337" s="4">
        <v>41135</v>
      </c>
      <c r="H337" s="3" t="s">
        <v>20</v>
      </c>
      <c r="I337" s="3">
        <v>3</v>
      </c>
      <c r="J337" s="3"/>
      <c r="K337" s="3" t="s">
        <v>1642</v>
      </c>
      <c r="L337" s="3" t="s">
        <v>918</v>
      </c>
      <c r="M337" s="3" t="s">
        <v>1643</v>
      </c>
      <c r="N337" s="3">
        <v>6.7</v>
      </c>
      <c r="O337" s="3" t="s">
        <v>1644</v>
      </c>
      <c r="P337" s="3" t="s">
        <v>25</v>
      </c>
      <c r="Q337" s="3" t="s">
        <v>4952</v>
      </c>
    </row>
    <row r="338" spans="1:17">
      <c r="A338" s="3">
        <v>837605</v>
      </c>
      <c r="B338" s="3" t="s">
        <v>1645</v>
      </c>
      <c r="C338" s="3" t="str">
        <f>"9780470656457"</f>
        <v>9780470656457</v>
      </c>
      <c r="D338" s="3" t="str">
        <f>"9781118290590"</f>
        <v>9781118290590</v>
      </c>
      <c r="E338" s="3" t="s">
        <v>32</v>
      </c>
      <c r="F338" s="3" t="s">
        <v>33</v>
      </c>
      <c r="G338" s="4">
        <v>41177</v>
      </c>
      <c r="H338" s="3" t="s">
        <v>20</v>
      </c>
      <c r="I338" s="3">
        <v>1</v>
      </c>
      <c r="J338" s="3" t="s">
        <v>860</v>
      </c>
      <c r="K338" s="3" t="s">
        <v>1646</v>
      </c>
      <c r="L338" s="3" t="s">
        <v>64</v>
      </c>
      <c r="M338" s="3" t="s">
        <v>1647</v>
      </c>
      <c r="N338" s="3">
        <v>306</v>
      </c>
      <c r="O338" s="3" t="s">
        <v>1648</v>
      </c>
      <c r="P338" s="3" t="s">
        <v>25</v>
      </c>
      <c r="Q338" s="3" t="s">
        <v>4953</v>
      </c>
    </row>
    <row r="339" spans="1:17">
      <c r="A339" s="3">
        <v>845932</v>
      </c>
      <c r="B339" s="3" t="s">
        <v>1649</v>
      </c>
      <c r="C339" s="3" t="str">
        <f>"9780199760237"</f>
        <v>9780199760237</v>
      </c>
      <c r="D339" s="3" t="str">
        <f>"9780199909513"</f>
        <v>9780199909513</v>
      </c>
      <c r="E339" s="3" t="s">
        <v>910</v>
      </c>
      <c r="F339" s="3" t="s">
        <v>910</v>
      </c>
      <c r="G339" s="4">
        <v>40876</v>
      </c>
      <c r="H339" s="3" t="s">
        <v>20</v>
      </c>
      <c r="I339" s="3"/>
      <c r="J339" s="3"/>
      <c r="K339" s="3" t="s">
        <v>1650</v>
      </c>
      <c r="L339" s="3" t="s">
        <v>1651</v>
      </c>
      <c r="M339" s="3" t="s">
        <v>1652</v>
      </c>
      <c r="N339" s="3" t="s">
        <v>1653</v>
      </c>
      <c r="O339" s="3" t="s">
        <v>1654</v>
      </c>
      <c r="P339" s="3" t="s">
        <v>25</v>
      </c>
      <c r="Q339" s="3" t="s">
        <v>4954</v>
      </c>
    </row>
    <row r="340" spans="1:17">
      <c r="A340" s="3">
        <v>845958</v>
      </c>
      <c r="B340" s="3" t="s">
        <v>1655</v>
      </c>
      <c r="C340" s="3" t="str">
        <f>"9780199843626"</f>
        <v>9780199843626</v>
      </c>
      <c r="D340" s="3" t="str">
        <f>"9780199909940"</f>
        <v>9780199909940</v>
      </c>
      <c r="E340" s="3" t="s">
        <v>1656</v>
      </c>
      <c r="F340" s="3" t="s">
        <v>1656</v>
      </c>
      <c r="G340" s="4">
        <v>40848</v>
      </c>
      <c r="H340" s="3" t="s">
        <v>20</v>
      </c>
      <c r="I340" s="3"/>
      <c r="J340" s="3" t="s">
        <v>1657</v>
      </c>
      <c r="K340" s="3" t="s">
        <v>1658</v>
      </c>
      <c r="L340" s="3" t="s">
        <v>204</v>
      </c>
      <c r="M340" s="3" t="s">
        <v>1659</v>
      </c>
      <c r="N340" s="3">
        <v>616.80427999999995</v>
      </c>
      <c r="O340" s="3" t="s">
        <v>1660</v>
      </c>
      <c r="P340" s="3" t="s">
        <v>25</v>
      </c>
      <c r="Q340" s="3" t="s">
        <v>4955</v>
      </c>
    </row>
    <row r="341" spans="1:17">
      <c r="A341" s="3">
        <v>845959</v>
      </c>
      <c r="B341" s="3" t="s">
        <v>1661</v>
      </c>
      <c r="C341" s="3" t="str">
        <f>"9780199732920"</f>
        <v>9780199732920</v>
      </c>
      <c r="D341" s="3" t="str">
        <f>"9780199875825"</f>
        <v>9780199875825</v>
      </c>
      <c r="E341" s="3" t="s">
        <v>910</v>
      </c>
      <c r="F341" s="3" t="s">
        <v>910</v>
      </c>
      <c r="G341" s="4">
        <v>40920</v>
      </c>
      <c r="H341" s="3" t="s">
        <v>20</v>
      </c>
      <c r="I341" s="3"/>
      <c r="J341" s="3" t="s">
        <v>1371</v>
      </c>
      <c r="K341" s="3" t="s">
        <v>1662</v>
      </c>
      <c r="L341" s="3" t="s">
        <v>1088</v>
      </c>
      <c r="M341" s="3" t="s">
        <v>1663</v>
      </c>
      <c r="N341" s="3" t="s">
        <v>1664</v>
      </c>
      <c r="O341" s="3" t="s">
        <v>1665</v>
      </c>
      <c r="P341" s="3" t="s">
        <v>25</v>
      </c>
      <c r="Q341" s="3" t="s">
        <v>4956</v>
      </c>
    </row>
    <row r="342" spans="1:17">
      <c r="A342" s="3">
        <v>846152</v>
      </c>
      <c r="B342" s="3" t="s">
        <v>1666</v>
      </c>
      <c r="C342" s="3" t="str">
        <f>"9780786463602"</f>
        <v>9780786463602</v>
      </c>
      <c r="D342" s="3" t="str">
        <f>"9780786488940"</f>
        <v>9780786488940</v>
      </c>
      <c r="E342" s="3" t="s">
        <v>828</v>
      </c>
      <c r="F342" s="3" t="s">
        <v>828</v>
      </c>
      <c r="G342" s="4">
        <v>40917</v>
      </c>
      <c r="H342" s="3" t="s">
        <v>20</v>
      </c>
      <c r="I342" s="3">
        <v>1</v>
      </c>
      <c r="J342" s="3"/>
      <c r="K342" s="3" t="s">
        <v>953</v>
      </c>
      <c r="L342" s="3" t="s">
        <v>1667</v>
      </c>
      <c r="M342" s="3" t="s">
        <v>1668</v>
      </c>
      <c r="N342" s="3" t="s">
        <v>1669</v>
      </c>
      <c r="O342" s="3" t="s">
        <v>1670</v>
      </c>
      <c r="P342" s="3" t="s">
        <v>25</v>
      </c>
      <c r="Q342" s="3" t="s">
        <v>4957</v>
      </c>
    </row>
    <row r="343" spans="1:17">
      <c r="A343" s="3">
        <v>846153</v>
      </c>
      <c r="B343" s="3" t="s">
        <v>1671</v>
      </c>
      <c r="C343" s="3" t="str">
        <f>"9780786464586"</f>
        <v>9780786464586</v>
      </c>
      <c r="D343" s="3" t="str">
        <f>"9780786488520"</f>
        <v>9780786488520</v>
      </c>
      <c r="E343" s="3" t="s">
        <v>828</v>
      </c>
      <c r="F343" s="3" t="s">
        <v>828</v>
      </c>
      <c r="G343" s="4">
        <v>40921</v>
      </c>
      <c r="H343" s="3" t="s">
        <v>20</v>
      </c>
      <c r="I343" s="3">
        <v>2</v>
      </c>
      <c r="J343" s="3">
        <v>2</v>
      </c>
      <c r="K343" s="3" t="s">
        <v>1672</v>
      </c>
      <c r="L343" s="3" t="s">
        <v>317</v>
      </c>
      <c r="M343" s="3" t="s">
        <v>1673</v>
      </c>
      <c r="N343" s="3" t="s">
        <v>1674</v>
      </c>
      <c r="O343" s="3" t="s">
        <v>1675</v>
      </c>
      <c r="P343" s="3" t="s">
        <v>25</v>
      </c>
      <c r="Q343" s="3" t="s">
        <v>4958</v>
      </c>
    </row>
    <row r="344" spans="1:17">
      <c r="A344" s="3">
        <v>849023</v>
      </c>
      <c r="B344" s="3" t="s">
        <v>1676</v>
      </c>
      <c r="C344" s="3" t="str">
        <f>"9783527329649"</f>
        <v>9783527329649</v>
      </c>
      <c r="D344" s="3" t="str">
        <f>"9783527644056"</f>
        <v>9783527644056</v>
      </c>
      <c r="E344" s="3" t="s">
        <v>32</v>
      </c>
      <c r="F344" s="3" t="s">
        <v>1677</v>
      </c>
      <c r="G344" s="4">
        <v>40966</v>
      </c>
      <c r="H344" s="3" t="s">
        <v>20</v>
      </c>
      <c r="I344" s="3">
        <v>1</v>
      </c>
      <c r="J344" s="3"/>
      <c r="K344" s="3" t="s">
        <v>1678</v>
      </c>
      <c r="L344" s="3" t="s">
        <v>1679</v>
      </c>
      <c r="M344" s="3" t="s">
        <v>1680</v>
      </c>
      <c r="N344" s="3">
        <v>668.90300000000002</v>
      </c>
      <c r="O344" s="3" t="s">
        <v>1681</v>
      </c>
      <c r="P344" s="3" t="s">
        <v>25</v>
      </c>
      <c r="Q344" s="3" t="s">
        <v>4959</v>
      </c>
    </row>
    <row r="345" spans="1:17">
      <c r="A345" s="3">
        <v>865482</v>
      </c>
      <c r="B345" s="3" t="s">
        <v>1682</v>
      </c>
      <c r="C345" s="3" t="str">
        <f>"9780814732663"</f>
        <v>9780814732663</v>
      </c>
      <c r="D345" s="3" t="str">
        <f>"9780814733042"</f>
        <v>9780814733042</v>
      </c>
      <c r="E345" s="3" t="s">
        <v>1683</v>
      </c>
      <c r="F345" s="3" t="s">
        <v>1683</v>
      </c>
      <c r="G345" s="4">
        <v>40568</v>
      </c>
      <c r="H345" s="3" t="s">
        <v>20</v>
      </c>
      <c r="I345" s="3">
        <v>1</v>
      </c>
      <c r="J345" s="3"/>
      <c r="K345" s="3" t="s">
        <v>1684</v>
      </c>
      <c r="L345" s="3" t="s">
        <v>64</v>
      </c>
      <c r="M345" s="3"/>
      <c r="N345" s="3">
        <v>364.66097300000001</v>
      </c>
      <c r="O345" s="3"/>
      <c r="P345" s="3" t="s">
        <v>25</v>
      </c>
      <c r="Q345" s="3" t="s">
        <v>4960</v>
      </c>
    </row>
    <row r="346" spans="1:17">
      <c r="A346" s="3">
        <v>865547</v>
      </c>
      <c r="B346" s="3" t="s">
        <v>1685</v>
      </c>
      <c r="C346" s="3" t="str">
        <f>"9780814787175"</f>
        <v>9780814787175</v>
      </c>
      <c r="D346" s="3" t="str">
        <f>"9780814739389"</f>
        <v>9780814739389</v>
      </c>
      <c r="E346" s="3" t="s">
        <v>1683</v>
      </c>
      <c r="F346" s="3" t="s">
        <v>1683</v>
      </c>
      <c r="G346" s="4">
        <v>41197</v>
      </c>
      <c r="H346" s="3" t="s">
        <v>20</v>
      </c>
      <c r="I346" s="3">
        <v>1</v>
      </c>
      <c r="J346" s="3"/>
      <c r="K346" s="3" t="s">
        <v>1686</v>
      </c>
      <c r="L346" s="3" t="s">
        <v>845</v>
      </c>
      <c r="M346" s="3" t="s">
        <v>1687</v>
      </c>
      <c r="N346" s="3">
        <v>362.10973000000001</v>
      </c>
      <c r="O346" s="3" t="s">
        <v>1688</v>
      </c>
      <c r="P346" s="3" t="s">
        <v>25</v>
      </c>
      <c r="Q346" s="3" t="s">
        <v>4961</v>
      </c>
    </row>
    <row r="347" spans="1:17">
      <c r="A347" s="3">
        <v>865912</v>
      </c>
      <c r="B347" s="3" t="s">
        <v>1689</v>
      </c>
      <c r="C347" s="3" t="str">
        <f>"9780814776469"</f>
        <v>9780814776469</v>
      </c>
      <c r="D347" s="3" t="str">
        <f>"9780814777466"</f>
        <v>9780814777466</v>
      </c>
      <c r="E347" s="3" t="s">
        <v>1683</v>
      </c>
      <c r="F347" s="3" t="s">
        <v>1683</v>
      </c>
      <c r="G347" s="4">
        <v>40848</v>
      </c>
      <c r="H347" s="3" t="s">
        <v>20</v>
      </c>
      <c r="I347" s="3">
        <v>1</v>
      </c>
      <c r="J347" s="3"/>
      <c r="K347" s="3" t="s">
        <v>1690</v>
      </c>
      <c r="L347" s="3" t="s">
        <v>118</v>
      </c>
      <c r="M347" s="3" t="s">
        <v>1691</v>
      </c>
      <c r="N347" s="3">
        <v>200.83</v>
      </c>
      <c r="O347" s="3" t="s">
        <v>1692</v>
      </c>
      <c r="P347" s="3" t="s">
        <v>25</v>
      </c>
      <c r="Q347" s="3" t="s">
        <v>4962</v>
      </c>
    </row>
    <row r="348" spans="1:17">
      <c r="A348" s="3">
        <v>873315</v>
      </c>
      <c r="B348" s="3" t="s">
        <v>1693</v>
      </c>
      <c r="C348" s="3" t="str">
        <f>"9780813347370"</f>
        <v>9780813347370</v>
      </c>
      <c r="D348" s="3" t="str">
        <f>"9780813347387"</f>
        <v>9780813347387</v>
      </c>
      <c r="E348" s="3" t="s">
        <v>18</v>
      </c>
      <c r="F348" s="3" t="s">
        <v>19</v>
      </c>
      <c r="G348" s="4">
        <v>40988</v>
      </c>
      <c r="H348" s="3" t="s">
        <v>20</v>
      </c>
      <c r="I348" s="3"/>
      <c r="J348" s="3"/>
      <c r="K348" s="3" t="s">
        <v>1694</v>
      </c>
      <c r="L348" s="3" t="s">
        <v>974</v>
      </c>
      <c r="M348" s="3" t="s">
        <v>1695</v>
      </c>
      <c r="N348" s="3">
        <v>909</v>
      </c>
      <c r="O348" s="3" t="s">
        <v>1696</v>
      </c>
      <c r="P348" s="3" t="s">
        <v>25</v>
      </c>
      <c r="Q348" s="3" t="s">
        <v>4963</v>
      </c>
    </row>
    <row r="349" spans="1:17">
      <c r="A349" s="3">
        <v>875733</v>
      </c>
      <c r="B349" s="3" t="s">
        <v>1697</v>
      </c>
      <c r="C349" s="3" t="str">
        <f>"9781405196901"</f>
        <v>9781405196901</v>
      </c>
      <c r="D349" s="3" t="str">
        <f>"9781118255537"</f>
        <v>9781118255537</v>
      </c>
      <c r="E349" s="3" t="s">
        <v>32</v>
      </c>
      <c r="F349" s="3" t="s">
        <v>33</v>
      </c>
      <c r="G349" s="4">
        <v>41050</v>
      </c>
      <c r="H349" s="3" t="s">
        <v>20</v>
      </c>
      <c r="I349" s="3">
        <v>1</v>
      </c>
      <c r="J349" s="3" t="s">
        <v>718</v>
      </c>
      <c r="K349" s="3" t="s">
        <v>1698</v>
      </c>
      <c r="L349" s="3" t="s">
        <v>118</v>
      </c>
      <c r="M349" s="3" t="s">
        <v>1699</v>
      </c>
      <c r="N349" s="3">
        <v>299.60000000000002</v>
      </c>
      <c r="O349" s="3" t="s">
        <v>1700</v>
      </c>
      <c r="P349" s="3" t="s">
        <v>25</v>
      </c>
      <c r="Q349" s="3" t="s">
        <v>4964</v>
      </c>
    </row>
    <row r="350" spans="1:17">
      <c r="A350" s="3">
        <v>875781</v>
      </c>
      <c r="B350" s="3" t="s">
        <v>1701</v>
      </c>
      <c r="C350" s="3" t="str">
        <f>"9781405195478"</f>
        <v>9781405195478</v>
      </c>
      <c r="D350" s="3" t="str">
        <f>"9781444355369"</f>
        <v>9781444355369</v>
      </c>
      <c r="E350" s="3" t="s">
        <v>32</v>
      </c>
      <c r="F350" s="3" t="s">
        <v>33</v>
      </c>
      <c r="G350" s="4">
        <v>41029</v>
      </c>
      <c r="H350" s="3" t="s">
        <v>20</v>
      </c>
      <c r="I350" s="3">
        <v>1</v>
      </c>
      <c r="J350" s="3" t="s">
        <v>718</v>
      </c>
      <c r="K350" s="3" t="s">
        <v>1702</v>
      </c>
      <c r="L350" s="3" t="s">
        <v>118</v>
      </c>
      <c r="M350" s="3" t="s">
        <v>1703</v>
      </c>
      <c r="N350" s="3">
        <v>201.7</v>
      </c>
      <c r="O350" s="3" t="s">
        <v>1704</v>
      </c>
      <c r="P350" s="3" t="s">
        <v>25</v>
      </c>
      <c r="Q350" s="3" t="s">
        <v>4965</v>
      </c>
    </row>
    <row r="351" spans="1:17">
      <c r="A351" s="3">
        <v>875783</v>
      </c>
      <c r="B351" s="3" t="s">
        <v>1705</v>
      </c>
      <c r="C351" s="3" t="str">
        <f>"9781444330298"</f>
        <v>9781444330298</v>
      </c>
      <c r="D351" s="3" t="str">
        <f>"9781444355963"</f>
        <v>9781444355963</v>
      </c>
      <c r="E351" s="3" t="s">
        <v>32</v>
      </c>
      <c r="F351" s="3" t="s">
        <v>33</v>
      </c>
      <c r="G351" s="4">
        <v>41022</v>
      </c>
      <c r="H351" s="3" t="s">
        <v>20</v>
      </c>
      <c r="I351" s="3">
        <v>1</v>
      </c>
      <c r="J351" s="3" t="s">
        <v>1706</v>
      </c>
      <c r="K351" s="3" t="s">
        <v>1707</v>
      </c>
      <c r="L351" s="3" t="s">
        <v>43</v>
      </c>
      <c r="M351" s="3" t="s">
        <v>1708</v>
      </c>
      <c r="N351" s="3">
        <v>791.43095100000005</v>
      </c>
      <c r="O351" s="3" t="s">
        <v>1709</v>
      </c>
      <c r="P351" s="3" t="s">
        <v>25</v>
      </c>
      <c r="Q351" s="3" t="s">
        <v>4966</v>
      </c>
    </row>
    <row r="352" spans="1:17">
      <c r="A352" s="3">
        <v>875809</v>
      </c>
      <c r="B352" s="3" t="s">
        <v>1710</v>
      </c>
      <c r="C352" s="3" t="str">
        <f>"9781118095676"</f>
        <v>9781118095676</v>
      </c>
      <c r="D352" s="3" t="str">
        <f>"9781118223598"</f>
        <v>9781118223598</v>
      </c>
      <c r="E352" s="3" t="s">
        <v>32</v>
      </c>
      <c r="F352" s="3" t="s">
        <v>530</v>
      </c>
      <c r="G352" s="4">
        <v>41127</v>
      </c>
      <c r="H352" s="3" t="s">
        <v>20</v>
      </c>
      <c r="I352" s="3">
        <v>1</v>
      </c>
      <c r="J352" s="3" t="s">
        <v>1054</v>
      </c>
      <c r="K352" s="3" t="s">
        <v>1711</v>
      </c>
      <c r="L352" s="3" t="s">
        <v>504</v>
      </c>
      <c r="M352" s="3" t="s">
        <v>1712</v>
      </c>
      <c r="N352" s="3">
        <v>428.00709999999998</v>
      </c>
      <c r="O352" s="3" t="s">
        <v>1713</v>
      </c>
      <c r="P352" s="3" t="s">
        <v>25</v>
      </c>
      <c r="Q352" s="3" t="s">
        <v>4967</v>
      </c>
    </row>
    <row r="353" spans="1:17">
      <c r="A353" s="3">
        <v>881882</v>
      </c>
      <c r="B353" s="3" t="s">
        <v>1714</v>
      </c>
      <c r="C353" s="3" t="str">
        <f>"9780786469550"</f>
        <v>9780786469550</v>
      </c>
      <c r="D353" s="3" t="str">
        <f>"9780786490677"</f>
        <v>9780786490677</v>
      </c>
      <c r="E353" s="3" t="s">
        <v>828</v>
      </c>
      <c r="F353" s="3" t="s">
        <v>828</v>
      </c>
      <c r="G353" s="4">
        <v>40967</v>
      </c>
      <c r="H353" s="3" t="s">
        <v>20</v>
      </c>
      <c r="I353" s="3">
        <v>2</v>
      </c>
      <c r="J353" s="3"/>
      <c r="K353" s="3" t="s">
        <v>1715</v>
      </c>
      <c r="L353" s="3" t="s">
        <v>1716</v>
      </c>
      <c r="M353" s="3" t="s">
        <v>1717</v>
      </c>
      <c r="N353" s="3">
        <v>1.51</v>
      </c>
      <c r="O353" s="3" t="s">
        <v>1718</v>
      </c>
      <c r="P353" s="3" t="s">
        <v>25</v>
      </c>
      <c r="Q353" s="3" t="s">
        <v>4968</v>
      </c>
    </row>
    <row r="354" spans="1:17">
      <c r="A354" s="3">
        <v>886456</v>
      </c>
      <c r="B354" s="3" t="s">
        <v>1719</v>
      </c>
      <c r="C354" s="3" t="str">
        <f>"9780195374285"</f>
        <v>9780195374285</v>
      </c>
      <c r="D354" s="3" t="str">
        <f>"9780199705757"</f>
        <v>9780199705757</v>
      </c>
      <c r="E354" s="3" t="s">
        <v>910</v>
      </c>
      <c r="F354" s="3" t="s">
        <v>910</v>
      </c>
      <c r="G354" s="4">
        <v>40757</v>
      </c>
      <c r="H354" s="3" t="s">
        <v>20</v>
      </c>
      <c r="I354" s="3"/>
      <c r="J354" s="3" t="s">
        <v>1013</v>
      </c>
      <c r="K354" s="3" t="s">
        <v>1720</v>
      </c>
      <c r="L354" s="3" t="s">
        <v>204</v>
      </c>
      <c r="M354" s="3" t="s">
        <v>1721</v>
      </c>
      <c r="N354" s="3">
        <v>616.4</v>
      </c>
      <c r="O354" s="3" t="s">
        <v>1722</v>
      </c>
      <c r="P354" s="3" t="s">
        <v>25</v>
      </c>
      <c r="Q354" s="3" t="s">
        <v>4969</v>
      </c>
    </row>
    <row r="355" spans="1:17">
      <c r="A355" s="3">
        <v>886462</v>
      </c>
      <c r="B355" s="3" t="s">
        <v>1723</v>
      </c>
      <c r="C355" s="3" t="str">
        <f>"9780199798148"</f>
        <v>9780199798148</v>
      </c>
      <c r="D355" s="3" t="str">
        <f>"9780199798247"</f>
        <v>9780199798247</v>
      </c>
      <c r="E355" s="3" t="s">
        <v>910</v>
      </c>
      <c r="F355" s="3" t="s">
        <v>910</v>
      </c>
      <c r="G355" s="4">
        <v>41005</v>
      </c>
      <c r="H355" s="3" t="s">
        <v>20</v>
      </c>
      <c r="I355" s="3"/>
      <c r="J355" s="3" t="s">
        <v>1423</v>
      </c>
      <c r="K355" s="3" t="s">
        <v>1724</v>
      </c>
      <c r="L355" s="3" t="s">
        <v>1725</v>
      </c>
      <c r="M355" s="3" t="s">
        <v>1726</v>
      </c>
      <c r="N355" s="3">
        <v>338.37270000000001</v>
      </c>
      <c r="O355" s="3" t="s">
        <v>1727</v>
      </c>
      <c r="P355" s="3" t="s">
        <v>25</v>
      </c>
      <c r="Q355" s="3" t="s">
        <v>4970</v>
      </c>
    </row>
    <row r="356" spans="1:17">
      <c r="A356" s="3">
        <v>886532</v>
      </c>
      <c r="B356" s="3" t="s">
        <v>1728</v>
      </c>
      <c r="C356" s="3" t="str">
        <f>"9780199733040"</f>
        <v>9780199733040</v>
      </c>
      <c r="D356" s="3" t="str">
        <f>"9780199938223"</f>
        <v>9780199938223</v>
      </c>
      <c r="E356" s="3" t="s">
        <v>910</v>
      </c>
      <c r="F356" s="3" t="s">
        <v>910</v>
      </c>
      <c r="G356" s="4">
        <v>40970</v>
      </c>
      <c r="H356" s="3" t="s">
        <v>20</v>
      </c>
      <c r="I356" s="3"/>
      <c r="J356" s="3" t="s">
        <v>1423</v>
      </c>
      <c r="K356" s="3" t="s">
        <v>1729</v>
      </c>
      <c r="L356" s="3" t="s">
        <v>58</v>
      </c>
      <c r="M356" s="3" t="s">
        <v>1730</v>
      </c>
      <c r="N356" s="3">
        <v>956.1</v>
      </c>
      <c r="O356" s="3" t="s">
        <v>1731</v>
      </c>
      <c r="P356" s="3" t="s">
        <v>25</v>
      </c>
      <c r="Q356" s="3" t="s">
        <v>4971</v>
      </c>
    </row>
    <row r="357" spans="1:17">
      <c r="A357" s="3">
        <v>886540</v>
      </c>
      <c r="B357" s="3" t="s">
        <v>1732</v>
      </c>
      <c r="C357" s="3" t="str">
        <f>"9780199891771"</f>
        <v>9780199891771</v>
      </c>
      <c r="D357" s="3" t="str">
        <f>"9780199891764"</f>
        <v>9780199891764</v>
      </c>
      <c r="E357" s="3" t="s">
        <v>910</v>
      </c>
      <c r="F357" s="3" t="s">
        <v>1733</v>
      </c>
      <c r="G357" s="4">
        <v>40940</v>
      </c>
      <c r="H357" s="3" t="s">
        <v>20</v>
      </c>
      <c r="I357" s="3"/>
      <c r="J357" s="3" t="s">
        <v>1734</v>
      </c>
      <c r="K357" s="3" t="s">
        <v>1735</v>
      </c>
      <c r="L357" s="3" t="s">
        <v>1736</v>
      </c>
      <c r="M357" s="3" t="s">
        <v>1737</v>
      </c>
      <c r="N357" s="3" t="s">
        <v>1738</v>
      </c>
      <c r="O357" s="3" t="s">
        <v>1739</v>
      </c>
      <c r="P357" s="3" t="s">
        <v>25</v>
      </c>
      <c r="Q357" s="3" t="s">
        <v>4972</v>
      </c>
    </row>
    <row r="358" spans="1:17">
      <c r="A358" s="3">
        <v>886568</v>
      </c>
      <c r="B358" s="3" t="s">
        <v>1740</v>
      </c>
      <c r="C358" s="3" t="str">
        <f>"9780199797790"</f>
        <v>9780199797790</v>
      </c>
      <c r="D358" s="3" t="str">
        <f>"9780199921478"</f>
        <v>9780199921478</v>
      </c>
      <c r="E358" s="3" t="s">
        <v>910</v>
      </c>
      <c r="F358" s="3" t="s">
        <v>910</v>
      </c>
      <c r="G358" s="4">
        <v>40935</v>
      </c>
      <c r="H358" s="3" t="s">
        <v>20</v>
      </c>
      <c r="I358" s="3"/>
      <c r="J358" s="3" t="s">
        <v>1741</v>
      </c>
      <c r="K358" s="3" t="s">
        <v>1742</v>
      </c>
      <c r="L358" s="3" t="s">
        <v>1450</v>
      </c>
      <c r="M358" s="3" t="s">
        <v>1743</v>
      </c>
      <c r="N358" s="3">
        <v>612.1</v>
      </c>
      <c r="O358" s="3" t="s">
        <v>1744</v>
      </c>
      <c r="P358" s="3" t="s">
        <v>25</v>
      </c>
      <c r="Q358" s="3" t="s">
        <v>4973</v>
      </c>
    </row>
    <row r="359" spans="1:17">
      <c r="A359" s="3">
        <v>886569</v>
      </c>
      <c r="B359" s="3" t="s">
        <v>1745</v>
      </c>
      <c r="C359" s="3" t="str">
        <f>"9780199764198"</f>
        <v>9780199764198</v>
      </c>
      <c r="D359" s="3" t="str">
        <f>"9780199830275"</f>
        <v>9780199830275</v>
      </c>
      <c r="E359" s="3" t="s">
        <v>910</v>
      </c>
      <c r="F359" s="3" t="s">
        <v>910</v>
      </c>
      <c r="G359" s="4">
        <v>40982</v>
      </c>
      <c r="H359" s="3" t="s">
        <v>20</v>
      </c>
      <c r="I359" s="3"/>
      <c r="J359" s="3" t="s">
        <v>1423</v>
      </c>
      <c r="K359" s="3" t="s">
        <v>1746</v>
      </c>
      <c r="L359" s="3" t="s">
        <v>58</v>
      </c>
      <c r="M359" s="3" t="s">
        <v>1747</v>
      </c>
      <c r="N359" s="3">
        <v>962.404</v>
      </c>
      <c r="O359" s="3" t="s">
        <v>1748</v>
      </c>
      <c r="P359" s="3" t="s">
        <v>25</v>
      </c>
      <c r="Q359" s="3" t="s">
        <v>4974</v>
      </c>
    </row>
    <row r="360" spans="1:17">
      <c r="A360" s="3">
        <v>891222</v>
      </c>
      <c r="B360" s="3" t="s">
        <v>1749</v>
      </c>
      <c r="C360" s="3" t="str">
        <f>"9780521850056"</f>
        <v>9780521850056</v>
      </c>
      <c r="D360" s="3" t="str">
        <f>"9781139811422"</f>
        <v>9781139811422</v>
      </c>
      <c r="E360" s="3" t="s">
        <v>41</v>
      </c>
      <c r="F360" s="3" t="s">
        <v>41</v>
      </c>
      <c r="G360" s="4">
        <v>40192</v>
      </c>
      <c r="H360" s="3" t="s">
        <v>20</v>
      </c>
      <c r="I360" s="3"/>
      <c r="J360" s="3" t="s">
        <v>1750</v>
      </c>
      <c r="K360" s="3" t="s">
        <v>1751</v>
      </c>
      <c r="L360" s="3" t="s">
        <v>97</v>
      </c>
      <c r="M360" s="3" t="s">
        <v>1752</v>
      </c>
      <c r="N360" s="3">
        <v>515.79999999999995</v>
      </c>
      <c r="O360" s="3" t="s">
        <v>1753</v>
      </c>
      <c r="P360" s="3" t="s">
        <v>25</v>
      </c>
      <c r="Q360" s="3" t="s">
        <v>4975</v>
      </c>
    </row>
    <row r="361" spans="1:17">
      <c r="A361" s="3">
        <v>893076</v>
      </c>
      <c r="B361" s="3" t="s">
        <v>1754</v>
      </c>
      <c r="C361" s="3" t="str">
        <f>"9781610486415"</f>
        <v>9781610486415</v>
      </c>
      <c r="D361" s="3" t="str">
        <f>"9781610486422"</f>
        <v>9781610486422</v>
      </c>
      <c r="E361" s="3" t="s">
        <v>1755</v>
      </c>
      <c r="F361" s="3" t="s">
        <v>1755</v>
      </c>
      <c r="G361" s="4">
        <v>40997</v>
      </c>
      <c r="H361" s="3" t="s">
        <v>20</v>
      </c>
      <c r="I361" s="3"/>
      <c r="J361" s="3"/>
      <c r="K361" s="3" t="s">
        <v>1756</v>
      </c>
      <c r="L361" s="3" t="s">
        <v>532</v>
      </c>
      <c r="M361" s="3" t="s">
        <v>1757</v>
      </c>
      <c r="N361" s="3">
        <v>371.10199999999998</v>
      </c>
      <c r="O361" s="3" t="s">
        <v>1758</v>
      </c>
      <c r="P361" s="3" t="s">
        <v>25</v>
      </c>
      <c r="Q361" s="3" t="s">
        <v>4976</v>
      </c>
    </row>
    <row r="362" spans="1:17">
      <c r="A362" s="3">
        <v>894270</v>
      </c>
      <c r="B362" s="3" t="s">
        <v>1759</v>
      </c>
      <c r="C362" s="3" t="str">
        <f>"9780470619018"</f>
        <v>9780470619018</v>
      </c>
      <c r="D362" s="3" t="str">
        <f>"9781118337400"</f>
        <v>9781118337400</v>
      </c>
      <c r="E362" s="3" t="s">
        <v>32</v>
      </c>
      <c r="F362" s="3" t="s">
        <v>32</v>
      </c>
      <c r="G362" s="4">
        <v>41198</v>
      </c>
      <c r="H362" s="3" t="s">
        <v>20</v>
      </c>
      <c r="I362" s="3">
        <v>2</v>
      </c>
      <c r="J362" s="3"/>
      <c r="K362" s="3" t="s">
        <v>1760</v>
      </c>
      <c r="L362" s="3" t="s">
        <v>514</v>
      </c>
      <c r="M362" s="3" t="s">
        <v>1761</v>
      </c>
      <c r="N362" s="3">
        <v>150</v>
      </c>
      <c r="O362" s="3" t="s">
        <v>1762</v>
      </c>
      <c r="P362" s="3" t="s">
        <v>25</v>
      </c>
      <c r="Q362" s="3" t="s">
        <v>4977</v>
      </c>
    </row>
    <row r="363" spans="1:17">
      <c r="A363" s="3">
        <v>894289</v>
      </c>
      <c r="B363" s="3" t="s">
        <v>1763</v>
      </c>
      <c r="C363" s="3" t="str">
        <f>"9780470917992"</f>
        <v>9780470917992</v>
      </c>
      <c r="D363" s="3" t="str">
        <f>"9781118404430"</f>
        <v>9781118404430</v>
      </c>
      <c r="E363" s="3" t="s">
        <v>32</v>
      </c>
      <c r="F363" s="3" t="s">
        <v>32</v>
      </c>
      <c r="G363" s="4">
        <v>41198</v>
      </c>
      <c r="H363" s="3" t="s">
        <v>20</v>
      </c>
      <c r="I363" s="3">
        <v>2</v>
      </c>
      <c r="J363" s="3"/>
      <c r="K363" s="3" t="s">
        <v>1764</v>
      </c>
      <c r="L363" s="3" t="s">
        <v>317</v>
      </c>
      <c r="M363" s="3" t="s">
        <v>1765</v>
      </c>
      <c r="N363" s="3">
        <v>616.89</v>
      </c>
      <c r="O363" s="3" t="s">
        <v>1766</v>
      </c>
      <c r="P363" s="3" t="s">
        <v>25</v>
      </c>
      <c r="Q363" s="3" t="s">
        <v>4978</v>
      </c>
    </row>
    <row r="364" spans="1:17">
      <c r="A364" s="3">
        <v>896984</v>
      </c>
      <c r="B364" s="3" t="s">
        <v>1767</v>
      </c>
      <c r="C364" s="3" t="str">
        <f>"9780786468904"</f>
        <v>9780786468904</v>
      </c>
      <c r="D364" s="3" t="str">
        <f>"9780786490448"</f>
        <v>9780786490448</v>
      </c>
      <c r="E364" s="3" t="s">
        <v>828</v>
      </c>
      <c r="F364" s="3" t="s">
        <v>828</v>
      </c>
      <c r="G364" s="4">
        <v>40984</v>
      </c>
      <c r="H364" s="3" t="s">
        <v>20</v>
      </c>
      <c r="I364" s="3">
        <v>1</v>
      </c>
      <c r="J364" s="3"/>
      <c r="K364" s="3" t="s">
        <v>1768</v>
      </c>
      <c r="L364" s="3" t="s">
        <v>406</v>
      </c>
      <c r="M364" s="3" t="s">
        <v>1769</v>
      </c>
      <c r="N364" s="3" t="s">
        <v>1770</v>
      </c>
      <c r="O364" s="3" t="s">
        <v>1771</v>
      </c>
      <c r="P364" s="3" t="s">
        <v>25</v>
      </c>
      <c r="Q364" s="3" t="s">
        <v>4979</v>
      </c>
    </row>
    <row r="365" spans="1:17">
      <c r="A365" s="3">
        <v>902587</v>
      </c>
      <c r="B365" s="3" t="s">
        <v>1772</v>
      </c>
      <c r="C365" s="3" t="str">
        <f>"9780810855779"</f>
        <v>9780810855779</v>
      </c>
      <c r="D365" s="3" t="str">
        <f>"9780810873940"</f>
        <v>9780810873940</v>
      </c>
      <c r="E365" s="3" t="s">
        <v>1773</v>
      </c>
      <c r="F365" s="3" t="s">
        <v>1773</v>
      </c>
      <c r="G365" s="4">
        <v>41011</v>
      </c>
      <c r="H365" s="3" t="s">
        <v>20</v>
      </c>
      <c r="I365" s="3"/>
      <c r="J365" s="3" t="s">
        <v>1774</v>
      </c>
      <c r="K365" s="3" t="s">
        <v>1775</v>
      </c>
      <c r="L365" s="3" t="s">
        <v>22</v>
      </c>
      <c r="M365" s="3" t="s">
        <v>1776</v>
      </c>
      <c r="N365" s="3">
        <v>810.98950000000002</v>
      </c>
      <c r="O365" s="3" t="s">
        <v>1777</v>
      </c>
      <c r="P365" s="3" t="s">
        <v>25</v>
      </c>
      <c r="Q365" s="3" t="s">
        <v>4980</v>
      </c>
    </row>
    <row r="366" spans="1:17">
      <c r="A366" s="3">
        <v>909001</v>
      </c>
      <c r="B366" s="3" t="s">
        <v>1778</v>
      </c>
      <c r="C366" s="3" t="str">
        <f>"9780231130424"</f>
        <v>9780231130424</v>
      </c>
      <c r="D366" s="3" t="str">
        <f>"9780231503792"</f>
        <v>9780231503792</v>
      </c>
      <c r="E366" s="3" t="s">
        <v>1779</v>
      </c>
      <c r="F366" s="3" t="s">
        <v>1779</v>
      </c>
      <c r="G366" s="4">
        <v>39367</v>
      </c>
      <c r="H366" s="3" t="s">
        <v>20</v>
      </c>
      <c r="I366" s="3"/>
      <c r="J366" s="3" t="s">
        <v>1780</v>
      </c>
      <c r="K366" s="3" t="s">
        <v>1781</v>
      </c>
      <c r="L366" s="3" t="s">
        <v>22</v>
      </c>
      <c r="M366" s="3" t="s">
        <v>1782</v>
      </c>
      <c r="N366" s="3">
        <v>820.99689100000001</v>
      </c>
      <c r="O366" s="3" t="s">
        <v>1783</v>
      </c>
      <c r="P366" s="3" t="s">
        <v>25</v>
      </c>
      <c r="Q366" s="3" t="s">
        <v>4981</v>
      </c>
    </row>
    <row r="367" spans="1:17">
      <c r="A367" s="3">
        <v>912189</v>
      </c>
      <c r="B367" s="3" t="s">
        <v>1784</v>
      </c>
      <c r="C367" s="3" t="str">
        <f>"9780521727105"</f>
        <v>9780521727105</v>
      </c>
      <c r="D367" s="3" t="str">
        <f>"9781139079426"</f>
        <v>9781139079426</v>
      </c>
      <c r="E367" s="3" t="s">
        <v>41</v>
      </c>
      <c r="F367" s="3" t="s">
        <v>41</v>
      </c>
      <c r="G367" s="4">
        <v>40234</v>
      </c>
      <c r="H367" s="3" t="s">
        <v>20</v>
      </c>
      <c r="I367" s="3">
        <v>2</v>
      </c>
      <c r="J367" s="3"/>
      <c r="K367" s="3" t="s">
        <v>1785</v>
      </c>
      <c r="L367" s="3" t="s">
        <v>317</v>
      </c>
      <c r="M367" s="3" t="s">
        <v>1786</v>
      </c>
      <c r="N367" s="3">
        <v>616.85260000000005</v>
      </c>
      <c r="O367" s="3" t="s">
        <v>1787</v>
      </c>
      <c r="P367" s="3" t="s">
        <v>25</v>
      </c>
      <c r="Q367" s="3" t="s">
        <v>4982</v>
      </c>
    </row>
    <row r="368" spans="1:17">
      <c r="A368" s="3">
        <v>914752</v>
      </c>
      <c r="B368" s="3" t="s">
        <v>1788</v>
      </c>
      <c r="C368" s="3" t="str">
        <f>"9780786468249"</f>
        <v>9780786468249</v>
      </c>
      <c r="D368" s="3" t="str">
        <f>"9780786490387"</f>
        <v>9780786490387</v>
      </c>
      <c r="E368" s="3" t="s">
        <v>828</v>
      </c>
      <c r="F368" s="3" t="s">
        <v>828</v>
      </c>
      <c r="G368" s="4">
        <v>41015</v>
      </c>
      <c r="H368" s="3" t="s">
        <v>20</v>
      </c>
      <c r="I368" s="3">
        <v>1</v>
      </c>
      <c r="J368" s="3"/>
      <c r="K368" s="3" t="s">
        <v>835</v>
      </c>
      <c r="L368" s="3" t="s">
        <v>1789</v>
      </c>
      <c r="M368" s="3" t="s">
        <v>1790</v>
      </c>
      <c r="N368" s="3">
        <v>621.36699999999996</v>
      </c>
      <c r="O368" s="3" t="s">
        <v>1791</v>
      </c>
      <c r="P368" s="3" t="s">
        <v>25</v>
      </c>
      <c r="Q368" s="3" t="s">
        <v>4983</v>
      </c>
    </row>
    <row r="369" spans="1:17">
      <c r="A369" s="3">
        <v>918172</v>
      </c>
      <c r="B369" s="3" t="s">
        <v>1792</v>
      </c>
      <c r="C369" s="3" t="str">
        <f>"9780470639177"</f>
        <v>9780470639177</v>
      </c>
      <c r="D369" s="3" t="str">
        <f>"9781118285275"</f>
        <v>9781118285275</v>
      </c>
      <c r="E369" s="3" t="s">
        <v>32</v>
      </c>
      <c r="F369" s="3" t="s">
        <v>32</v>
      </c>
      <c r="G369" s="4">
        <v>41198</v>
      </c>
      <c r="H369" s="3" t="s">
        <v>20</v>
      </c>
      <c r="I369" s="3">
        <v>2</v>
      </c>
      <c r="J369" s="3"/>
      <c r="K369" s="3" t="s">
        <v>1793</v>
      </c>
      <c r="L369" s="3" t="s">
        <v>1794</v>
      </c>
      <c r="M369" s="3" t="s">
        <v>1795</v>
      </c>
      <c r="N369" s="3">
        <v>614.15</v>
      </c>
      <c r="O369" s="3" t="s">
        <v>1796</v>
      </c>
      <c r="P369" s="3" t="s">
        <v>25</v>
      </c>
      <c r="Q369" s="3" t="s">
        <v>4984</v>
      </c>
    </row>
    <row r="370" spans="1:17">
      <c r="A370" s="3">
        <v>918174</v>
      </c>
      <c r="B370" s="3" t="s">
        <v>1797</v>
      </c>
      <c r="C370" s="3" t="str">
        <f>"9780470647776"</f>
        <v>9780470647776</v>
      </c>
      <c r="D370" s="3" t="str">
        <f>"9781118285343"</f>
        <v>9781118285343</v>
      </c>
      <c r="E370" s="3" t="s">
        <v>32</v>
      </c>
      <c r="F370" s="3" t="s">
        <v>32</v>
      </c>
      <c r="G370" s="4">
        <v>41198</v>
      </c>
      <c r="H370" s="3" t="s">
        <v>20</v>
      </c>
      <c r="I370" s="3">
        <v>2</v>
      </c>
      <c r="J370" s="3"/>
      <c r="K370" s="3" t="s">
        <v>1798</v>
      </c>
      <c r="L370" s="3" t="s">
        <v>532</v>
      </c>
      <c r="M370" s="3" t="s">
        <v>1799</v>
      </c>
      <c r="N370" s="3">
        <v>370.15</v>
      </c>
      <c r="O370" s="3" t="s">
        <v>1800</v>
      </c>
      <c r="P370" s="3" t="s">
        <v>25</v>
      </c>
      <c r="Q370" s="3" t="s">
        <v>4985</v>
      </c>
    </row>
    <row r="371" spans="1:17">
      <c r="A371" s="3">
        <v>918180</v>
      </c>
      <c r="B371" s="3" t="s">
        <v>1801</v>
      </c>
      <c r="C371" s="3" t="str">
        <f>"9780470891278"</f>
        <v>9780470891278</v>
      </c>
      <c r="D371" s="3" t="str">
        <f>"9781118286760"</f>
        <v>9781118286760</v>
      </c>
      <c r="E371" s="3" t="s">
        <v>32</v>
      </c>
      <c r="F371" s="3" t="s">
        <v>32</v>
      </c>
      <c r="G371" s="4">
        <v>41198</v>
      </c>
      <c r="H371" s="3" t="s">
        <v>20</v>
      </c>
      <c r="I371" s="3">
        <v>2</v>
      </c>
      <c r="J371" s="3"/>
      <c r="K371" s="3" t="s">
        <v>1802</v>
      </c>
      <c r="L371" s="3" t="s">
        <v>317</v>
      </c>
      <c r="M371" s="3" t="s">
        <v>1803</v>
      </c>
      <c r="N371" s="3">
        <v>153.93</v>
      </c>
      <c r="O371" s="3" t="s">
        <v>1804</v>
      </c>
      <c r="P371" s="3" t="s">
        <v>25</v>
      </c>
      <c r="Q371" s="3" t="s">
        <v>4986</v>
      </c>
    </row>
    <row r="372" spans="1:17">
      <c r="A372" s="3">
        <v>919560</v>
      </c>
      <c r="B372" s="3" t="s">
        <v>1805</v>
      </c>
      <c r="C372" s="3" t="str">
        <f>"9789004221871"</f>
        <v>9789004221871</v>
      </c>
      <c r="D372" s="3" t="str">
        <f>"9789004226487"</f>
        <v>9789004226487</v>
      </c>
      <c r="E372" s="3" t="s">
        <v>611</v>
      </c>
      <c r="F372" s="3" t="s">
        <v>611</v>
      </c>
      <c r="G372" s="4">
        <v>40996</v>
      </c>
      <c r="H372" s="3" t="s">
        <v>20</v>
      </c>
      <c r="I372" s="3">
        <v>1</v>
      </c>
      <c r="J372" s="3" t="s">
        <v>1806</v>
      </c>
      <c r="K372" s="3" t="s">
        <v>1807</v>
      </c>
      <c r="L372" s="3" t="s">
        <v>118</v>
      </c>
      <c r="M372" s="3" t="s">
        <v>1808</v>
      </c>
      <c r="N372" s="3" t="s">
        <v>1809</v>
      </c>
      <c r="O372" s="3" t="s">
        <v>1810</v>
      </c>
      <c r="P372" s="3" t="s">
        <v>25</v>
      </c>
      <c r="Q372" s="3" t="s">
        <v>4987</v>
      </c>
    </row>
    <row r="373" spans="1:17">
      <c r="A373" s="3">
        <v>928857</v>
      </c>
      <c r="B373" s="3" t="s">
        <v>1811</v>
      </c>
      <c r="C373" s="3" t="str">
        <f>"9780786448395"</f>
        <v>9780786448395</v>
      </c>
      <c r="D373" s="3" t="str">
        <f>"9780786493128"</f>
        <v>9780786493128</v>
      </c>
      <c r="E373" s="3" t="s">
        <v>828</v>
      </c>
      <c r="F373" s="3" t="s">
        <v>828</v>
      </c>
      <c r="G373" s="4">
        <v>41043</v>
      </c>
      <c r="H373" s="3" t="s">
        <v>20</v>
      </c>
      <c r="I373" s="3">
        <v>4</v>
      </c>
      <c r="J373" s="3"/>
      <c r="K373" s="3" t="s">
        <v>1812</v>
      </c>
      <c r="L373" s="3" t="s">
        <v>58</v>
      </c>
      <c r="M373" s="3" t="s">
        <v>1813</v>
      </c>
      <c r="N373" s="3">
        <v>973</v>
      </c>
      <c r="O373" s="3" t="s">
        <v>1814</v>
      </c>
      <c r="P373" s="3" t="s">
        <v>25</v>
      </c>
      <c r="Q373" s="3" t="s">
        <v>4988</v>
      </c>
    </row>
    <row r="374" spans="1:17">
      <c r="A374" s="3">
        <v>943380</v>
      </c>
      <c r="B374" s="3" t="s">
        <v>1815</v>
      </c>
      <c r="C374" s="3" t="str">
        <f>"9780199735679"</f>
        <v>9780199735679</v>
      </c>
      <c r="D374" s="3" t="str">
        <f>"9780199749751"</f>
        <v>9780199749751</v>
      </c>
      <c r="E374" s="3" t="s">
        <v>910</v>
      </c>
      <c r="F374" s="3" t="s">
        <v>910</v>
      </c>
      <c r="G374" s="4">
        <v>40772</v>
      </c>
      <c r="H374" s="3" t="s">
        <v>20</v>
      </c>
      <c r="I374" s="3"/>
      <c r="J374" s="3" t="s">
        <v>1816</v>
      </c>
      <c r="K374" s="3" t="s">
        <v>1817</v>
      </c>
      <c r="L374" s="3" t="s">
        <v>204</v>
      </c>
      <c r="M374" s="3" t="s">
        <v>1818</v>
      </c>
      <c r="N374" s="3">
        <v>616.99449059999995</v>
      </c>
      <c r="O374" s="3" t="s">
        <v>1819</v>
      </c>
      <c r="P374" s="3" t="s">
        <v>25</v>
      </c>
      <c r="Q374" s="3" t="s">
        <v>4989</v>
      </c>
    </row>
    <row r="375" spans="1:17">
      <c r="A375" s="3">
        <v>943941</v>
      </c>
      <c r="B375" s="3" t="s">
        <v>1820</v>
      </c>
      <c r="C375" s="3" t="str">
        <f>"9780786466511"</f>
        <v>9780786466511</v>
      </c>
      <c r="D375" s="3" t="str">
        <f>"9780786489091"</f>
        <v>9780786489091</v>
      </c>
      <c r="E375" s="3" t="s">
        <v>828</v>
      </c>
      <c r="F375" s="3" t="s">
        <v>828</v>
      </c>
      <c r="G375" s="4">
        <v>41064</v>
      </c>
      <c r="H375" s="3" t="s">
        <v>20</v>
      </c>
      <c r="I375" s="3">
        <v>1</v>
      </c>
      <c r="J375" s="3"/>
      <c r="K375" s="3" t="s">
        <v>888</v>
      </c>
      <c r="L375" s="3" t="s">
        <v>64</v>
      </c>
      <c r="M375" s="3" t="s">
        <v>1821</v>
      </c>
      <c r="N375" s="3">
        <v>364.660978</v>
      </c>
      <c r="O375" s="3" t="s">
        <v>1822</v>
      </c>
      <c r="P375" s="3" t="s">
        <v>25</v>
      </c>
      <c r="Q375" s="3" t="s">
        <v>4990</v>
      </c>
    </row>
    <row r="376" spans="1:17">
      <c r="A376" s="3">
        <v>943954</v>
      </c>
      <c r="B376" s="3" t="s">
        <v>1823</v>
      </c>
      <c r="C376" s="3" t="str">
        <f>"9780786466016"</f>
        <v>9780786466016</v>
      </c>
      <c r="D376" s="3" t="str">
        <f>"9780786492770"</f>
        <v>9780786492770</v>
      </c>
      <c r="E376" s="3" t="s">
        <v>828</v>
      </c>
      <c r="F376" s="3" t="s">
        <v>828</v>
      </c>
      <c r="G376" s="4">
        <v>41059</v>
      </c>
      <c r="H376" s="3" t="s">
        <v>20</v>
      </c>
      <c r="I376" s="3">
        <v>2</v>
      </c>
      <c r="J376" s="3"/>
      <c r="K376" s="3" t="s">
        <v>1824</v>
      </c>
      <c r="L376" s="3" t="s">
        <v>58</v>
      </c>
      <c r="M376" s="3" t="s">
        <v>1825</v>
      </c>
      <c r="N376" s="3" t="s">
        <v>1826</v>
      </c>
      <c r="O376" s="3" t="s">
        <v>1827</v>
      </c>
      <c r="P376" s="3" t="s">
        <v>25</v>
      </c>
      <c r="Q376" s="3" t="s">
        <v>4991</v>
      </c>
    </row>
    <row r="377" spans="1:17">
      <c r="A377" s="3">
        <v>945587</v>
      </c>
      <c r="B377" s="3" t="s">
        <v>1828</v>
      </c>
      <c r="C377" s="3" t="str">
        <f>"9781408159576"</f>
        <v>9781408159576</v>
      </c>
      <c r="D377" s="3" t="str">
        <f>"9781408171158"</f>
        <v>9781408171158</v>
      </c>
      <c r="E377" s="3" t="s">
        <v>1829</v>
      </c>
      <c r="F377" s="3" t="s">
        <v>1830</v>
      </c>
      <c r="G377" s="4">
        <v>41081</v>
      </c>
      <c r="H377" s="3" t="s">
        <v>20</v>
      </c>
      <c r="I377" s="3">
        <v>1</v>
      </c>
      <c r="J377" s="3"/>
      <c r="K377" s="3" t="s">
        <v>1831</v>
      </c>
      <c r="L377" s="3" t="s">
        <v>58</v>
      </c>
      <c r="M377" s="3" t="s">
        <v>1832</v>
      </c>
      <c r="N377" s="3">
        <v>929.10285467799997</v>
      </c>
      <c r="O377" s="3" t="s">
        <v>1833</v>
      </c>
      <c r="P377" s="3" t="s">
        <v>25</v>
      </c>
      <c r="Q377" s="3" t="s">
        <v>4992</v>
      </c>
    </row>
    <row r="378" spans="1:17">
      <c r="A378" s="3">
        <v>946962</v>
      </c>
      <c r="B378" s="3" t="s">
        <v>1834</v>
      </c>
      <c r="C378" s="3" t="str">
        <f>"9781118133521"</f>
        <v>9781118133521</v>
      </c>
      <c r="D378" s="3" t="str">
        <f>"9781118392379"</f>
        <v>9781118392379</v>
      </c>
      <c r="E378" s="3" t="s">
        <v>1835</v>
      </c>
      <c r="F378" s="3" t="s">
        <v>1835</v>
      </c>
      <c r="G378" s="4">
        <v>41198</v>
      </c>
      <c r="H378" s="3" t="s">
        <v>20</v>
      </c>
      <c r="I378" s="3">
        <v>1</v>
      </c>
      <c r="J378" s="3" t="s">
        <v>1836</v>
      </c>
      <c r="K378" s="3" t="s">
        <v>1837</v>
      </c>
      <c r="L378" s="3" t="s">
        <v>1838</v>
      </c>
      <c r="M378" s="3" t="s">
        <v>1839</v>
      </c>
      <c r="N378" s="3" t="s">
        <v>1840</v>
      </c>
      <c r="O378" s="3" t="s">
        <v>1841</v>
      </c>
      <c r="P378" s="3" t="s">
        <v>25</v>
      </c>
      <c r="Q378" s="3" t="s">
        <v>4993</v>
      </c>
    </row>
    <row r="379" spans="1:17">
      <c r="A379" s="3">
        <v>947665</v>
      </c>
      <c r="B379" s="3" t="s">
        <v>1842</v>
      </c>
      <c r="C379" s="3" t="str">
        <f>"9781118312957"</f>
        <v>9781118312957</v>
      </c>
      <c r="D379" s="3" t="str">
        <f>"9781118463239"</f>
        <v>9781118463239</v>
      </c>
      <c r="E379" s="3" t="s">
        <v>32</v>
      </c>
      <c r="F379" s="3" t="s">
        <v>491</v>
      </c>
      <c r="G379" s="4">
        <v>41121</v>
      </c>
      <c r="H379" s="3" t="s">
        <v>20</v>
      </c>
      <c r="I379" s="3">
        <v>1</v>
      </c>
      <c r="J379" s="3"/>
      <c r="K379" s="3" t="s">
        <v>1843</v>
      </c>
      <c r="L379" s="3" t="s">
        <v>219</v>
      </c>
      <c r="M379" s="3" t="s">
        <v>1844</v>
      </c>
      <c r="N379" s="3">
        <v>320.60973000000001</v>
      </c>
      <c r="O379" s="3" t="s">
        <v>1845</v>
      </c>
      <c r="P379" s="3" t="s">
        <v>25</v>
      </c>
      <c r="Q379" s="3" t="s">
        <v>4994</v>
      </c>
    </row>
    <row r="380" spans="1:17">
      <c r="A380" s="3">
        <v>947729</v>
      </c>
      <c r="B380" s="3" t="s">
        <v>1846</v>
      </c>
      <c r="C380" s="3" t="str">
        <f>"9781119968795"</f>
        <v>9781119968795</v>
      </c>
      <c r="D380" s="3" t="str">
        <f>"9781118454176"</f>
        <v>9781118454176</v>
      </c>
      <c r="E380" s="3" t="s">
        <v>32</v>
      </c>
      <c r="F380" s="3" t="s">
        <v>32</v>
      </c>
      <c r="G380" s="4">
        <v>41372</v>
      </c>
      <c r="H380" s="3" t="s">
        <v>20</v>
      </c>
      <c r="I380" s="3">
        <v>1</v>
      </c>
      <c r="J380" s="3"/>
      <c r="K380" s="3" t="s">
        <v>1847</v>
      </c>
      <c r="L380" s="3" t="s">
        <v>36</v>
      </c>
      <c r="M380" s="3" t="s">
        <v>1848</v>
      </c>
      <c r="N380" s="3">
        <v>657.45</v>
      </c>
      <c r="O380" s="3" t="s">
        <v>1849</v>
      </c>
      <c r="P380" s="3" t="s">
        <v>25</v>
      </c>
      <c r="Q380" s="3" t="s">
        <v>4995</v>
      </c>
    </row>
    <row r="381" spans="1:17">
      <c r="A381" s="3">
        <v>950443</v>
      </c>
      <c r="B381" s="3" t="s">
        <v>1850</v>
      </c>
      <c r="C381" s="3" t="str">
        <f>"9780810871892"</f>
        <v>9780810871892</v>
      </c>
      <c r="D381" s="3" t="str">
        <f>"9780810873971"</f>
        <v>9780810873971</v>
      </c>
      <c r="E381" s="3" t="s">
        <v>1773</v>
      </c>
      <c r="F381" s="3" t="s">
        <v>1773</v>
      </c>
      <c r="G381" s="4">
        <v>41081</v>
      </c>
      <c r="H381" s="3" t="s">
        <v>20</v>
      </c>
      <c r="I381" s="3"/>
      <c r="J381" s="3" t="s">
        <v>1774</v>
      </c>
      <c r="K381" s="3" t="s">
        <v>1851</v>
      </c>
      <c r="L381" s="3" t="s">
        <v>22</v>
      </c>
      <c r="M381" s="3" t="s">
        <v>1852</v>
      </c>
      <c r="N381" s="3">
        <v>810.90053999999998</v>
      </c>
      <c r="O381" s="3" t="s">
        <v>1853</v>
      </c>
      <c r="P381" s="3" t="s">
        <v>25</v>
      </c>
      <c r="Q381" s="3" t="s">
        <v>4996</v>
      </c>
    </row>
    <row r="382" spans="1:17">
      <c r="A382" s="3">
        <v>975635</v>
      </c>
      <c r="B382" s="3" t="s">
        <v>1854</v>
      </c>
      <c r="C382" s="3" t="str">
        <f>"9780199602933"</f>
        <v>9780199602933</v>
      </c>
      <c r="D382" s="3" t="str">
        <f>"9780191631504"</f>
        <v>9780191631504</v>
      </c>
      <c r="E382" s="3" t="s">
        <v>910</v>
      </c>
      <c r="F382" s="3" t="s">
        <v>910</v>
      </c>
      <c r="G382" s="4">
        <v>40878</v>
      </c>
      <c r="H382" s="3" t="s">
        <v>20</v>
      </c>
      <c r="I382" s="3">
        <v>2</v>
      </c>
      <c r="J382" s="3" t="s">
        <v>1855</v>
      </c>
      <c r="K382" s="3" t="s">
        <v>1856</v>
      </c>
      <c r="L382" s="3" t="s">
        <v>317</v>
      </c>
      <c r="M382" s="3" t="s">
        <v>1857</v>
      </c>
      <c r="N382" s="3">
        <v>616.85270000000003</v>
      </c>
      <c r="O382" s="3" t="s">
        <v>1858</v>
      </c>
      <c r="P382" s="3" t="s">
        <v>25</v>
      </c>
      <c r="Q382" s="3" t="s">
        <v>4997</v>
      </c>
    </row>
    <row r="383" spans="1:17">
      <c r="A383" s="3">
        <v>978064</v>
      </c>
      <c r="B383" s="3" t="s">
        <v>1859</v>
      </c>
      <c r="C383" s="3" t="str">
        <f>"9780786468423"</f>
        <v>9780786468423</v>
      </c>
      <c r="D383" s="3" t="str">
        <f>"9780786492794"</f>
        <v>9780786492794</v>
      </c>
      <c r="E383" s="3" t="s">
        <v>828</v>
      </c>
      <c r="F383" s="3" t="s">
        <v>828</v>
      </c>
      <c r="G383" s="4">
        <v>41078</v>
      </c>
      <c r="H383" s="3" t="s">
        <v>20</v>
      </c>
      <c r="I383" s="3">
        <v>1</v>
      </c>
      <c r="J383" s="3"/>
      <c r="K383" s="3" t="s">
        <v>1860</v>
      </c>
      <c r="L383" s="3" t="s">
        <v>43</v>
      </c>
      <c r="M383" s="3" t="s">
        <v>1861</v>
      </c>
      <c r="N383" s="3">
        <v>792.09730000000002</v>
      </c>
      <c r="O383" s="3" t="s">
        <v>1862</v>
      </c>
      <c r="P383" s="3" t="s">
        <v>25</v>
      </c>
      <c r="Q383" s="3" t="s">
        <v>4998</v>
      </c>
    </row>
    <row r="384" spans="1:17">
      <c r="A384" s="3">
        <v>991769</v>
      </c>
      <c r="B384" s="3" t="s">
        <v>1863</v>
      </c>
      <c r="C384" s="3" t="str">
        <f>"9781118305492"</f>
        <v>9781118305492</v>
      </c>
      <c r="D384" s="3" t="str">
        <f>"9781118305478"</f>
        <v>9781118305478</v>
      </c>
      <c r="E384" s="3" t="s">
        <v>32</v>
      </c>
      <c r="F384" s="3" t="s">
        <v>33</v>
      </c>
      <c r="G384" s="4">
        <v>41190</v>
      </c>
      <c r="H384" s="3" t="s">
        <v>20</v>
      </c>
      <c r="I384" s="3">
        <v>1</v>
      </c>
      <c r="J384" s="3" t="s">
        <v>455</v>
      </c>
      <c r="K384" s="3" t="s">
        <v>1864</v>
      </c>
      <c r="L384" s="3" t="s">
        <v>974</v>
      </c>
      <c r="M384" s="3" t="s">
        <v>1865</v>
      </c>
      <c r="N384" s="3">
        <v>907.2</v>
      </c>
      <c r="O384" s="3" t="s">
        <v>1866</v>
      </c>
      <c r="P384" s="3" t="s">
        <v>25</v>
      </c>
      <c r="Q384" s="3" t="s">
        <v>4999</v>
      </c>
    </row>
    <row r="385" spans="1:17">
      <c r="A385" s="3">
        <v>995795</v>
      </c>
      <c r="B385" s="3" t="s">
        <v>1867</v>
      </c>
      <c r="C385" s="3" t="str">
        <f>"9780786465576"</f>
        <v>9780786465576</v>
      </c>
      <c r="D385" s="3" t="str">
        <f>"9780786492954"</f>
        <v>9780786492954</v>
      </c>
      <c r="E385" s="3" t="s">
        <v>828</v>
      </c>
      <c r="F385" s="3" t="s">
        <v>828</v>
      </c>
      <c r="G385" s="4">
        <v>41128</v>
      </c>
      <c r="H385" s="3" t="s">
        <v>20</v>
      </c>
      <c r="I385" s="3">
        <v>1</v>
      </c>
      <c r="J385" s="3"/>
      <c r="K385" s="3" t="s">
        <v>1868</v>
      </c>
      <c r="L385" s="3" t="s">
        <v>406</v>
      </c>
      <c r="M385" s="3" t="s">
        <v>1869</v>
      </c>
      <c r="N385" s="3" t="s">
        <v>1870</v>
      </c>
      <c r="O385" s="3" t="s">
        <v>1871</v>
      </c>
      <c r="P385" s="3" t="s">
        <v>25</v>
      </c>
      <c r="Q385" s="3" t="s">
        <v>5000</v>
      </c>
    </row>
    <row r="386" spans="1:17">
      <c r="A386" s="3">
        <v>996610</v>
      </c>
      <c r="B386" s="3" t="s">
        <v>1872</v>
      </c>
      <c r="C386" s="3" t="str">
        <f>"9781412951531"</f>
        <v>9781412951531</v>
      </c>
      <c r="D386" s="3" t="str">
        <f>"9781452261737"</f>
        <v>9781452261737</v>
      </c>
      <c r="E386" s="3" t="s">
        <v>1873</v>
      </c>
      <c r="F386" s="3" t="s">
        <v>1873</v>
      </c>
      <c r="G386" s="4">
        <v>40358</v>
      </c>
      <c r="H386" s="3" t="s">
        <v>20</v>
      </c>
      <c r="I386" s="3">
        <v>1</v>
      </c>
      <c r="J386" s="3"/>
      <c r="K386" s="3" t="s">
        <v>1874</v>
      </c>
      <c r="L386" s="3" t="s">
        <v>1875</v>
      </c>
      <c r="M386" s="3" t="s">
        <v>1876</v>
      </c>
      <c r="N386" s="3">
        <v>302.5</v>
      </c>
      <c r="O386" s="3" t="s">
        <v>1877</v>
      </c>
      <c r="P386" s="3" t="s">
        <v>25</v>
      </c>
      <c r="Q386" s="3" t="s">
        <v>5001</v>
      </c>
    </row>
    <row r="387" spans="1:17">
      <c r="A387" s="3">
        <v>996653</v>
      </c>
      <c r="B387" s="3" t="s">
        <v>1878</v>
      </c>
      <c r="C387" s="3" t="str">
        <f>"9781412942089"</f>
        <v>9781412942089</v>
      </c>
      <c r="D387" s="3" t="str">
        <f>"9781452261508"</f>
        <v>9781452261508</v>
      </c>
      <c r="E387" s="3" t="s">
        <v>1873</v>
      </c>
      <c r="F387" s="3" t="s">
        <v>1873</v>
      </c>
      <c r="G387" s="4">
        <v>40128</v>
      </c>
      <c r="H387" s="3" t="s">
        <v>20</v>
      </c>
      <c r="I387" s="3">
        <v>1</v>
      </c>
      <c r="J387" s="3"/>
      <c r="K387" s="3" t="s">
        <v>1879</v>
      </c>
      <c r="L387" s="3" t="s">
        <v>64</v>
      </c>
      <c r="M387" s="3" t="s">
        <v>1880</v>
      </c>
      <c r="N387" s="3">
        <v>302.3</v>
      </c>
      <c r="O387" s="3" t="s">
        <v>1881</v>
      </c>
      <c r="P387" s="3" t="s">
        <v>25</v>
      </c>
      <c r="Q387" s="3" t="s">
        <v>5002</v>
      </c>
    </row>
    <row r="388" spans="1:17">
      <c r="A388" s="3">
        <v>996731</v>
      </c>
      <c r="B388" s="3" t="s">
        <v>1882</v>
      </c>
      <c r="C388" s="3" t="str">
        <f>"9781412909495"</f>
        <v>9781412909495</v>
      </c>
      <c r="D388" s="3" t="str">
        <f>"9781452265643"</f>
        <v>9781452265643</v>
      </c>
      <c r="E388" s="3" t="s">
        <v>1873</v>
      </c>
      <c r="F388" s="3" t="s">
        <v>1873</v>
      </c>
      <c r="G388" s="4">
        <v>39185</v>
      </c>
      <c r="H388" s="3" t="s">
        <v>20</v>
      </c>
      <c r="I388" s="3">
        <v>1</v>
      </c>
      <c r="J388" s="3"/>
      <c r="K388" s="3" t="s">
        <v>1883</v>
      </c>
      <c r="L388" s="3" t="s">
        <v>816</v>
      </c>
      <c r="M388" s="3" t="s">
        <v>1884</v>
      </c>
      <c r="N388" s="3" t="s">
        <v>1885</v>
      </c>
      <c r="O388" s="3" t="s">
        <v>1886</v>
      </c>
      <c r="P388" s="3" t="s">
        <v>25</v>
      </c>
      <c r="Q388" s="3" t="s">
        <v>5003</v>
      </c>
    </row>
    <row r="389" spans="1:17">
      <c r="A389" s="3">
        <v>996732</v>
      </c>
      <c r="B389" s="3" t="s">
        <v>1887</v>
      </c>
      <c r="C389" s="3" t="str">
        <f>"9781412951784"</f>
        <v>9781412951784</v>
      </c>
      <c r="D389" s="3" t="str">
        <f>"9781452266169"</f>
        <v>9781452266169</v>
      </c>
      <c r="E389" s="3" t="s">
        <v>1873</v>
      </c>
      <c r="F389" s="3" t="s">
        <v>1873</v>
      </c>
      <c r="G389" s="4">
        <v>40009</v>
      </c>
      <c r="H389" s="3" t="s">
        <v>20</v>
      </c>
      <c r="I389" s="3">
        <v>1</v>
      </c>
      <c r="J389" s="3"/>
      <c r="K389" s="3" t="s">
        <v>1888</v>
      </c>
      <c r="L389" s="3" t="s">
        <v>64</v>
      </c>
      <c r="M389" s="3" t="s">
        <v>1889</v>
      </c>
      <c r="N389" s="3">
        <v>306.90300000000002</v>
      </c>
      <c r="O389" s="3" t="s">
        <v>1890</v>
      </c>
      <c r="P389" s="3" t="s">
        <v>25</v>
      </c>
      <c r="Q389" s="3" t="s">
        <v>5004</v>
      </c>
    </row>
    <row r="390" spans="1:17">
      <c r="A390" s="3">
        <v>996733</v>
      </c>
      <c r="B390" s="3" t="s">
        <v>1891</v>
      </c>
      <c r="C390" s="3" t="str">
        <f>"9781412976954"</f>
        <v>9781412976954</v>
      </c>
      <c r="D390" s="3" t="str">
        <f>"9781452266282"</f>
        <v>9781452266282</v>
      </c>
      <c r="E390" s="3" t="s">
        <v>1873</v>
      </c>
      <c r="F390" s="3" t="s">
        <v>1873</v>
      </c>
      <c r="G390" s="4">
        <v>40555</v>
      </c>
      <c r="H390" s="3" t="s">
        <v>20</v>
      </c>
      <c r="I390" s="3">
        <v>1</v>
      </c>
      <c r="J390" s="3"/>
      <c r="K390" s="3" t="s">
        <v>1892</v>
      </c>
      <c r="L390" s="3" t="s">
        <v>64</v>
      </c>
      <c r="M390" s="3" t="s">
        <v>1893</v>
      </c>
      <c r="N390" s="3" t="s">
        <v>1894</v>
      </c>
      <c r="O390" s="3" t="s">
        <v>1895</v>
      </c>
      <c r="P390" s="3" t="s">
        <v>25</v>
      </c>
      <c r="Q390" s="3" t="s">
        <v>5005</v>
      </c>
    </row>
    <row r="391" spans="1:17">
      <c r="A391" s="3">
        <v>996749</v>
      </c>
      <c r="B391" s="3" t="s">
        <v>1896</v>
      </c>
      <c r="C391" s="3" t="str">
        <f>"9781412979115"</f>
        <v>9781412979115</v>
      </c>
      <c r="D391" s="3" t="str">
        <f>"9781452266503"</f>
        <v>9781452266503</v>
      </c>
      <c r="E391" s="3" t="s">
        <v>1873</v>
      </c>
      <c r="F391" s="3" t="s">
        <v>1873</v>
      </c>
      <c r="G391" s="4">
        <v>40793</v>
      </c>
      <c r="H391" s="3" t="s">
        <v>20</v>
      </c>
      <c r="I391" s="3">
        <v>1</v>
      </c>
      <c r="J391" s="3"/>
      <c r="K391" s="3" t="s">
        <v>1897</v>
      </c>
      <c r="L391" s="3" t="s">
        <v>64</v>
      </c>
      <c r="M391" s="3" t="s">
        <v>1898</v>
      </c>
      <c r="N391" s="3">
        <v>302.3</v>
      </c>
      <c r="O391" s="3" t="s">
        <v>1899</v>
      </c>
      <c r="P391" s="3" t="s">
        <v>25</v>
      </c>
      <c r="Q391" s="3" t="s">
        <v>5006</v>
      </c>
    </row>
    <row r="392" spans="1:17">
      <c r="A392" s="3">
        <v>996750</v>
      </c>
      <c r="B392" s="3" t="s">
        <v>1900</v>
      </c>
      <c r="C392" s="3" t="str">
        <f>"9781412940795"</f>
        <v>9781412940795</v>
      </c>
      <c r="D392" s="3" t="str">
        <f>"9781452265902"</f>
        <v>9781452265902</v>
      </c>
      <c r="E392" s="3" t="s">
        <v>1873</v>
      </c>
      <c r="F392" s="3" t="s">
        <v>1873</v>
      </c>
      <c r="G392" s="4">
        <v>39626</v>
      </c>
      <c r="H392" s="3" t="s">
        <v>20</v>
      </c>
      <c r="I392" s="3">
        <v>1</v>
      </c>
      <c r="J392" s="3"/>
      <c r="K392" s="3" t="s">
        <v>1901</v>
      </c>
      <c r="L392" s="3" t="s">
        <v>354</v>
      </c>
      <c r="M392" s="3" t="s">
        <v>1902</v>
      </c>
      <c r="N392" s="3" t="s">
        <v>1903</v>
      </c>
      <c r="O392" s="3" t="s">
        <v>1904</v>
      </c>
      <c r="P392" s="3" t="s">
        <v>25</v>
      </c>
      <c r="Q392" s="3" t="s">
        <v>5007</v>
      </c>
    </row>
    <row r="393" spans="1:17">
      <c r="A393" s="3">
        <v>996789</v>
      </c>
      <c r="B393" s="3" t="s">
        <v>1905</v>
      </c>
      <c r="C393" s="3" t="str">
        <f>"9780761926887"</f>
        <v>9780761926887</v>
      </c>
      <c r="D393" s="3" t="str">
        <f>"9781452266329"</f>
        <v>9781452266329</v>
      </c>
      <c r="E393" s="3" t="s">
        <v>1873</v>
      </c>
      <c r="F393" s="3" t="s">
        <v>1873</v>
      </c>
      <c r="G393" s="4">
        <v>40479</v>
      </c>
      <c r="H393" s="3" t="s">
        <v>20</v>
      </c>
      <c r="I393" s="3">
        <v>1</v>
      </c>
      <c r="J393" s="3"/>
      <c r="K393" s="3" t="s">
        <v>1906</v>
      </c>
      <c r="L393" s="3" t="s">
        <v>64</v>
      </c>
      <c r="M393" s="3" t="s">
        <v>1907</v>
      </c>
      <c r="N393" s="3">
        <v>302.2303</v>
      </c>
      <c r="O393" s="3" t="s">
        <v>1908</v>
      </c>
      <c r="P393" s="3" t="s">
        <v>25</v>
      </c>
      <c r="Q393" s="3" t="s">
        <v>5008</v>
      </c>
    </row>
    <row r="394" spans="1:17">
      <c r="A394" s="3">
        <v>996790</v>
      </c>
      <c r="B394" s="3" t="s">
        <v>1909</v>
      </c>
      <c r="C394" s="3" t="str">
        <f>"9781412960472"</f>
        <v>9781412960472</v>
      </c>
      <c r="D394" s="3" t="str">
        <f>"9781452266374"</f>
        <v>9781452266374</v>
      </c>
      <c r="E394" s="3" t="s">
        <v>1873</v>
      </c>
      <c r="F394" s="3" t="s">
        <v>1873</v>
      </c>
      <c r="G394" s="4">
        <v>40211</v>
      </c>
      <c r="H394" s="3" t="s">
        <v>20</v>
      </c>
      <c r="I394" s="3">
        <v>1</v>
      </c>
      <c r="J394" s="3"/>
      <c r="K394" s="3" t="s">
        <v>1910</v>
      </c>
      <c r="L394" s="3" t="s">
        <v>64</v>
      </c>
      <c r="M394" s="3" t="s">
        <v>1911</v>
      </c>
      <c r="N394" s="3" t="s">
        <v>1912</v>
      </c>
      <c r="O394" s="3" t="s">
        <v>1913</v>
      </c>
      <c r="P394" s="3" t="s">
        <v>25</v>
      </c>
      <c r="Q394" s="3" t="s">
        <v>5009</v>
      </c>
    </row>
    <row r="395" spans="1:17">
      <c r="A395" s="3">
        <v>996798</v>
      </c>
      <c r="B395" s="3" t="s">
        <v>1914</v>
      </c>
      <c r="C395" s="3" t="str">
        <f>"9781412980166"</f>
        <v>9781412980166</v>
      </c>
      <c r="D395" s="3" t="str">
        <f>"9781452266381"</f>
        <v>9781452266381</v>
      </c>
      <c r="E395" s="3" t="s">
        <v>1873</v>
      </c>
      <c r="F395" s="3" t="s">
        <v>1873</v>
      </c>
      <c r="G395" s="4">
        <v>40709</v>
      </c>
      <c r="H395" s="3" t="s">
        <v>20</v>
      </c>
      <c r="I395" s="3">
        <v>1</v>
      </c>
      <c r="J395" s="3"/>
      <c r="K395" s="3" t="s">
        <v>1915</v>
      </c>
      <c r="L395" s="3" t="s">
        <v>64</v>
      </c>
      <c r="M395" s="3" t="s">
        <v>1916</v>
      </c>
      <c r="N395" s="3">
        <v>363.32503000000003</v>
      </c>
      <c r="O395" s="3" t="s">
        <v>1917</v>
      </c>
      <c r="P395" s="3" t="s">
        <v>25</v>
      </c>
      <c r="Q395" s="3" t="s">
        <v>5010</v>
      </c>
    </row>
    <row r="396" spans="1:17">
      <c r="A396" s="3">
        <v>996806</v>
      </c>
      <c r="B396" s="3" t="s">
        <v>1918</v>
      </c>
      <c r="C396" s="3" t="str">
        <f>"9781412959209"</f>
        <v>9781412959209</v>
      </c>
      <c r="D396" s="3" t="str">
        <f>"9781452265780"</f>
        <v>9781452265780</v>
      </c>
      <c r="E396" s="3" t="s">
        <v>1873</v>
      </c>
      <c r="F396" s="3" t="s">
        <v>1873</v>
      </c>
      <c r="G396" s="4">
        <v>40373</v>
      </c>
      <c r="H396" s="3" t="s">
        <v>20</v>
      </c>
      <c r="I396" s="3">
        <v>1</v>
      </c>
      <c r="J396" s="3"/>
      <c r="K396" s="3" t="s">
        <v>1919</v>
      </c>
      <c r="L396" s="3" t="s">
        <v>1920</v>
      </c>
      <c r="M396" s="3" t="s">
        <v>1921</v>
      </c>
      <c r="N396" s="3">
        <v>501</v>
      </c>
      <c r="O396" s="3" t="s">
        <v>1922</v>
      </c>
      <c r="P396" s="3" t="s">
        <v>25</v>
      </c>
      <c r="Q396" s="3" t="s">
        <v>5011</v>
      </c>
    </row>
    <row r="397" spans="1:17">
      <c r="A397" s="3">
        <v>996848</v>
      </c>
      <c r="B397" s="3" t="s">
        <v>1923</v>
      </c>
      <c r="C397" s="3" t="str">
        <f>"9780761927297"</f>
        <v>9780761927297</v>
      </c>
      <c r="D397" s="3" t="str">
        <f>"9781452266565"</f>
        <v>9781452266565</v>
      </c>
      <c r="E397" s="3" t="s">
        <v>1873</v>
      </c>
      <c r="F397" s="3" t="s">
        <v>1873</v>
      </c>
      <c r="G397" s="4">
        <v>40834</v>
      </c>
      <c r="H397" s="3" t="s">
        <v>20</v>
      </c>
      <c r="I397" s="3">
        <v>1</v>
      </c>
      <c r="J397" s="3"/>
      <c r="K397" s="3" t="s">
        <v>1924</v>
      </c>
      <c r="L397" s="3" t="s">
        <v>118</v>
      </c>
      <c r="M397" s="3" t="s">
        <v>1925</v>
      </c>
      <c r="N397" s="3">
        <v>200.3</v>
      </c>
      <c r="O397" s="3" t="s">
        <v>1926</v>
      </c>
      <c r="P397" s="3" t="s">
        <v>25</v>
      </c>
      <c r="Q397" s="3" t="s">
        <v>5012</v>
      </c>
    </row>
    <row r="398" spans="1:17">
      <c r="A398" s="3">
        <v>996852</v>
      </c>
      <c r="B398" s="3" t="s">
        <v>1927</v>
      </c>
      <c r="C398" s="3" t="str">
        <f>"9781412956642"</f>
        <v>9781412956642</v>
      </c>
      <c r="D398" s="3" t="str">
        <f>"9781452265735"</f>
        <v>9781452265735</v>
      </c>
      <c r="E398" s="3" t="s">
        <v>1873</v>
      </c>
      <c r="F398" s="3" t="s">
        <v>1873</v>
      </c>
      <c r="G398" s="4">
        <v>40198</v>
      </c>
      <c r="H398" s="3" t="s">
        <v>20</v>
      </c>
      <c r="I398" s="3">
        <v>1</v>
      </c>
      <c r="J398" s="3"/>
      <c r="K398" s="3" t="s">
        <v>1928</v>
      </c>
      <c r="L398" s="3" t="s">
        <v>532</v>
      </c>
      <c r="M398" s="3" t="s">
        <v>1929</v>
      </c>
      <c r="N398" s="3">
        <v>371.20097299999998</v>
      </c>
      <c r="O398" s="3" t="s">
        <v>1930</v>
      </c>
      <c r="P398" s="3" t="s">
        <v>25</v>
      </c>
      <c r="Q398" s="3" t="s">
        <v>5013</v>
      </c>
    </row>
    <row r="399" spans="1:17">
      <c r="A399" s="3">
        <v>996877</v>
      </c>
      <c r="B399" s="3" t="s">
        <v>1931</v>
      </c>
      <c r="C399" s="3" t="str">
        <f>"9781412950848"</f>
        <v>9781412950848</v>
      </c>
      <c r="D399" s="3" t="str">
        <f>"9781452266015"</f>
        <v>9781452266015</v>
      </c>
      <c r="E399" s="3" t="s">
        <v>1873</v>
      </c>
      <c r="F399" s="3" t="s">
        <v>1873</v>
      </c>
      <c r="G399" s="4">
        <v>39764</v>
      </c>
      <c r="H399" s="3" t="s">
        <v>20</v>
      </c>
      <c r="I399" s="3">
        <v>1</v>
      </c>
      <c r="J399" s="3"/>
      <c r="K399" s="3" t="s">
        <v>1932</v>
      </c>
      <c r="L399" s="3" t="s">
        <v>1933</v>
      </c>
      <c r="M399" s="3" t="s">
        <v>1934</v>
      </c>
      <c r="N399" s="3">
        <v>362.2903</v>
      </c>
      <c r="O399" s="3" t="s">
        <v>1935</v>
      </c>
      <c r="P399" s="3" t="s">
        <v>25</v>
      </c>
      <c r="Q399" s="3" t="s">
        <v>5014</v>
      </c>
    </row>
    <row r="400" spans="1:17">
      <c r="A400" s="3">
        <v>996893</v>
      </c>
      <c r="B400" s="3" t="s">
        <v>1936</v>
      </c>
      <c r="C400" s="3" t="str">
        <f>"9781412959186"</f>
        <v>9781412959186</v>
      </c>
      <c r="D400" s="3" t="str">
        <f>"9781452265773"</f>
        <v>9781452265773</v>
      </c>
      <c r="E400" s="3" t="s">
        <v>1873</v>
      </c>
      <c r="F400" s="3" t="s">
        <v>1873</v>
      </c>
      <c r="G400" s="4">
        <v>40444</v>
      </c>
      <c r="H400" s="3" t="s">
        <v>20</v>
      </c>
      <c r="I400" s="3">
        <v>1</v>
      </c>
      <c r="J400" s="3"/>
      <c r="K400" s="3" t="s">
        <v>1937</v>
      </c>
      <c r="L400" s="3" t="s">
        <v>64</v>
      </c>
      <c r="M400" s="3" t="s">
        <v>1938</v>
      </c>
      <c r="N400" s="3">
        <v>364.01</v>
      </c>
      <c r="O400" s="3" t="s">
        <v>1939</v>
      </c>
      <c r="P400" s="3" t="s">
        <v>25</v>
      </c>
      <c r="Q400" s="3" t="s">
        <v>5015</v>
      </c>
    </row>
    <row r="401" spans="1:17">
      <c r="A401" s="3">
        <v>996907</v>
      </c>
      <c r="B401" s="3" t="s">
        <v>1940</v>
      </c>
      <c r="C401" s="3" t="str">
        <f>"9780761926498"</f>
        <v>9780761926498</v>
      </c>
      <c r="D401" s="3" t="str">
        <f>"9781452265322"</f>
        <v>9781452265322</v>
      </c>
      <c r="E401" s="3" t="s">
        <v>1873</v>
      </c>
      <c r="F401" s="3" t="s">
        <v>1873</v>
      </c>
      <c r="G401" s="4">
        <v>38336</v>
      </c>
      <c r="H401" s="3" t="s">
        <v>20</v>
      </c>
      <c r="I401" s="3">
        <v>1</v>
      </c>
      <c r="J401" s="3"/>
      <c r="K401" s="3" t="s">
        <v>1941</v>
      </c>
      <c r="L401" s="3" t="s">
        <v>64</v>
      </c>
      <c r="M401" s="3" t="s">
        <v>1942</v>
      </c>
      <c r="N401" s="3" t="s">
        <v>1943</v>
      </c>
      <c r="O401" s="3" t="s">
        <v>1944</v>
      </c>
      <c r="P401" s="3" t="s">
        <v>25</v>
      </c>
      <c r="Q401" s="3" t="s">
        <v>5016</v>
      </c>
    </row>
    <row r="402" spans="1:17">
      <c r="A402" s="3">
        <v>996924</v>
      </c>
      <c r="B402" s="3" t="s">
        <v>1945</v>
      </c>
      <c r="C402" s="3" t="str">
        <f>"9781412927482"</f>
        <v>9781412927482</v>
      </c>
      <c r="D402" s="3" t="str">
        <f>"9781452266411"</f>
        <v>9781452266411</v>
      </c>
      <c r="E402" s="3" t="s">
        <v>1873</v>
      </c>
      <c r="F402" s="3" t="s">
        <v>1873</v>
      </c>
      <c r="G402" s="4">
        <v>40575</v>
      </c>
      <c r="H402" s="3" t="s">
        <v>20</v>
      </c>
      <c r="I402" s="3">
        <v>1</v>
      </c>
      <c r="J402" s="3"/>
      <c r="K402" s="3" t="s">
        <v>1946</v>
      </c>
      <c r="L402" s="3" t="s">
        <v>64</v>
      </c>
      <c r="M402" s="3" t="s">
        <v>1947</v>
      </c>
      <c r="N402" s="3">
        <v>303.303</v>
      </c>
      <c r="O402" s="3" t="s">
        <v>1948</v>
      </c>
      <c r="P402" s="3" t="s">
        <v>25</v>
      </c>
      <c r="Q402" s="3" t="s">
        <v>5017</v>
      </c>
    </row>
    <row r="403" spans="1:17">
      <c r="A403" s="3">
        <v>996935</v>
      </c>
      <c r="B403" s="3" t="s">
        <v>1949</v>
      </c>
      <c r="C403" s="3" t="str">
        <f>"9781412909167"</f>
        <v>9781412909167</v>
      </c>
      <c r="D403" s="3" t="str">
        <f>"9781452266022"</f>
        <v>9781452266022</v>
      </c>
      <c r="E403" s="3" t="s">
        <v>1873</v>
      </c>
      <c r="F403" s="3" t="s">
        <v>1873</v>
      </c>
      <c r="G403" s="4">
        <v>39778</v>
      </c>
      <c r="H403" s="3" t="s">
        <v>20</v>
      </c>
      <c r="I403" s="3">
        <v>1</v>
      </c>
      <c r="J403" s="3"/>
      <c r="K403" s="3" t="s">
        <v>1950</v>
      </c>
      <c r="L403" s="3" t="s">
        <v>64</v>
      </c>
      <c r="M403" s="3" t="s">
        <v>1951</v>
      </c>
      <c r="N403" s="3" t="s">
        <v>1952</v>
      </c>
      <c r="O403" s="3" t="s">
        <v>1953</v>
      </c>
      <c r="P403" s="3" t="s">
        <v>25</v>
      </c>
      <c r="Q403" s="3" t="s">
        <v>5018</v>
      </c>
    </row>
    <row r="404" spans="1:17">
      <c r="A404" s="3">
        <v>996954</v>
      </c>
      <c r="B404" s="3" t="s">
        <v>1954</v>
      </c>
      <c r="C404" s="3" t="str">
        <f>"9780761926115"</f>
        <v>9780761926115</v>
      </c>
      <c r="D404" s="3" t="str">
        <f>"9781452265469"</f>
        <v>9781452265469</v>
      </c>
      <c r="E404" s="3" t="s">
        <v>1873</v>
      </c>
      <c r="F404" s="3" t="s">
        <v>1873</v>
      </c>
      <c r="G404" s="4">
        <v>38218</v>
      </c>
      <c r="H404" s="3" t="s">
        <v>20</v>
      </c>
      <c r="I404" s="3">
        <v>1</v>
      </c>
      <c r="J404" s="3"/>
      <c r="K404" s="3" t="s">
        <v>1609</v>
      </c>
      <c r="L404" s="3" t="s">
        <v>64</v>
      </c>
      <c r="M404" s="3" t="s">
        <v>1955</v>
      </c>
      <c r="N404" s="3" t="s">
        <v>1956</v>
      </c>
      <c r="O404" s="3" t="s">
        <v>1957</v>
      </c>
      <c r="P404" s="3" t="s">
        <v>25</v>
      </c>
      <c r="Q404" s="3" t="s">
        <v>5019</v>
      </c>
    </row>
    <row r="405" spans="1:17">
      <c r="A405" s="3">
        <v>996964</v>
      </c>
      <c r="B405" s="3" t="s">
        <v>1958</v>
      </c>
      <c r="C405" s="3" t="str">
        <f>"9781412917995"</f>
        <v>9781412917995</v>
      </c>
      <c r="D405" s="3" t="str">
        <f>"9781452265629"</f>
        <v>9781452265629</v>
      </c>
      <c r="E405" s="3" t="s">
        <v>1873</v>
      </c>
      <c r="F405" s="3" t="s">
        <v>1873</v>
      </c>
      <c r="G405" s="4">
        <v>39437</v>
      </c>
      <c r="H405" s="3" t="s">
        <v>20</v>
      </c>
      <c r="I405" s="3">
        <v>1</v>
      </c>
      <c r="J405" s="3"/>
      <c r="K405" s="3" t="s">
        <v>1959</v>
      </c>
      <c r="L405" s="3" t="s">
        <v>219</v>
      </c>
      <c r="M405" s="3" t="s">
        <v>1960</v>
      </c>
      <c r="N405" s="3" t="s">
        <v>1961</v>
      </c>
      <c r="O405" s="3" t="s">
        <v>1962</v>
      </c>
      <c r="P405" s="3" t="s">
        <v>25</v>
      </c>
      <c r="Q405" s="3" t="s">
        <v>5020</v>
      </c>
    </row>
    <row r="406" spans="1:17">
      <c r="A406" s="3">
        <v>996971</v>
      </c>
      <c r="B406" s="3" t="s">
        <v>1963</v>
      </c>
      <c r="C406" s="3" t="str">
        <f>"9781412997218"</f>
        <v>9781412997218</v>
      </c>
      <c r="D406" s="3" t="str">
        <f>"9781452267463"</f>
        <v>9781452267463</v>
      </c>
      <c r="E406" s="3" t="s">
        <v>1873</v>
      </c>
      <c r="F406" s="3" t="s">
        <v>1873</v>
      </c>
      <c r="G406" s="4">
        <v>40616</v>
      </c>
      <c r="H406" s="3" t="s">
        <v>20</v>
      </c>
      <c r="I406" s="3">
        <v>1</v>
      </c>
      <c r="J406" s="3"/>
      <c r="K406" s="3" t="s">
        <v>1964</v>
      </c>
      <c r="L406" s="3" t="s">
        <v>1965</v>
      </c>
      <c r="M406" s="3" t="s">
        <v>1966</v>
      </c>
      <c r="N406" s="3">
        <v>174.4</v>
      </c>
      <c r="O406" s="3" t="s">
        <v>1967</v>
      </c>
      <c r="P406" s="3" t="s">
        <v>25</v>
      </c>
      <c r="Q406" s="3" t="s">
        <v>5021</v>
      </c>
    </row>
    <row r="407" spans="1:17">
      <c r="A407" s="3">
        <v>996979</v>
      </c>
      <c r="B407" s="3" t="s">
        <v>1968</v>
      </c>
      <c r="C407" s="3" t="str">
        <f>"9781412958653"</f>
        <v>9781412958653</v>
      </c>
      <c r="D407" s="3" t="str">
        <f>"9781452265759"</f>
        <v>9781452265759</v>
      </c>
      <c r="E407" s="3" t="s">
        <v>1873</v>
      </c>
      <c r="F407" s="3" t="s">
        <v>1873</v>
      </c>
      <c r="G407" s="4">
        <v>40255</v>
      </c>
      <c r="H407" s="3" t="s">
        <v>20</v>
      </c>
      <c r="I407" s="3">
        <v>1</v>
      </c>
      <c r="J407" s="3"/>
      <c r="K407" s="3" t="s">
        <v>1969</v>
      </c>
      <c r="L407" s="3" t="s">
        <v>219</v>
      </c>
      <c r="M407" s="3" t="s">
        <v>1970</v>
      </c>
      <c r="N407" s="3">
        <v>320.01</v>
      </c>
      <c r="O407" s="3" t="s">
        <v>1971</v>
      </c>
      <c r="P407" s="3" t="s">
        <v>25</v>
      </c>
      <c r="Q407" s="3" t="s">
        <v>5022</v>
      </c>
    </row>
    <row r="408" spans="1:17">
      <c r="A408" s="3">
        <v>997533</v>
      </c>
      <c r="B408" s="3" t="s">
        <v>1972</v>
      </c>
      <c r="C408" s="3" t="str">
        <f>"9780786463855"</f>
        <v>9780786463855</v>
      </c>
      <c r="D408" s="3" t="str">
        <f>"9780786490288"</f>
        <v>9780786490288</v>
      </c>
      <c r="E408" s="3" t="s">
        <v>828</v>
      </c>
      <c r="F408" s="3" t="s">
        <v>828</v>
      </c>
      <c r="G408" s="4">
        <v>41121</v>
      </c>
      <c r="H408" s="3" t="s">
        <v>20</v>
      </c>
      <c r="I408" s="3">
        <v>1</v>
      </c>
      <c r="J408" s="3"/>
      <c r="K408" s="3" t="s">
        <v>1209</v>
      </c>
      <c r="L408" s="3" t="s">
        <v>58</v>
      </c>
      <c r="M408" s="3" t="s">
        <v>1973</v>
      </c>
      <c r="N408" s="3" t="s">
        <v>1974</v>
      </c>
      <c r="O408" s="3" t="s">
        <v>1975</v>
      </c>
      <c r="P408" s="3" t="s">
        <v>25</v>
      </c>
      <c r="Q408" s="3" t="s">
        <v>5023</v>
      </c>
    </row>
    <row r="409" spans="1:17">
      <c r="A409" s="3">
        <v>997578</v>
      </c>
      <c r="B409" s="3" t="s">
        <v>1976</v>
      </c>
      <c r="C409" s="3" t="str">
        <f>"9780810882706"</f>
        <v>9780810882706</v>
      </c>
      <c r="D409" s="3" t="str">
        <f>"9780810882713"</f>
        <v>9780810882713</v>
      </c>
      <c r="E409" s="3" t="s">
        <v>1773</v>
      </c>
      <c r="F409" s="3" t="s">
        <v>1773</v>
      </c>
      <c r="G409" s="4">
        <v>41137</v>
      </c>
      <c r="H409" s="3" t="s">
        <v>20</v>
      </c>
      <c r="I409" s="3"/>
      <c r="J409" s="3"/>
      <c r="K409" s="3" t="s">
        <v>1977</v>
      </c>
      <c r="L409" s="3" t="s">
        <v>43</v>
      </c>
      <c r="M409" s="3" t="s">
        <v>1978</v>
      </c>
      <c r="N409" s="3">
        <v>784.19200000000001</v>
      </c>
      <c r="O409" s="3" t="s">
        <v>1979</v>
      </c>
      <c r="P409" s="3" t="s">
        <v>25</v>
      </c>
      <c r="Q409" s="3" t="s">
        <v>5024</v>
      </c>
    </row>
    <row r="410" spans="1:17">
      <c r="A410" s="3">
        <v>998952</v>
      </c>
      <c r="B410" s="3" t="s">
        <v>1980</v>
      </c>
      <c r="C410" s="3" t="str">
        <f>"9780199812929"</f>
        <v>9780199812929</v>
      </c>
      <c r="D410" s="3" t="str">
        <f>"9780199812912"</f>
        <v>9780199812912</v>
      </c>
      <c r="E410" s="3" t="s">
        <v>910</v>
      </c>
      <c r="F410" s="3" t="s">
        <v>910</v>
      </c>
      <c r="G410" s="4">
        <v>41107</v>
      </c>
      <c r="H410" s="3" t="s">
        <v>20</v>
      </c>
      <c r="I410" s="3"/>
      <c r="J410" s="3" t="s">
        <v>1423</v>
      </c>
      <c r="K410" s="3" t="s">
        <v>1981</v>
      </c>
      <c r="L410" s="3" t="s">
        <v>1982</v>
      </c>
      <c r="M410" s="3" t="s">
        <v>1983</v>
      </c>
      <c r="N410" s="3">
        <v>333.79</v>
      </c>
      <c r="O410" s="3" t="s">
        <v>1984</v>
      </c>
      <c r="P410" s="3" t="s">
        <v>25</v>
      </c>
      <c r="Q410" s="3" t="s">
        <v>5025</v>
      </c>
    </row>
    <row r="411" spans="1:17">
      <c r="A411" s="3">
        <v>1012773</v>
      </c>
      <c r="B411" s="3" t="s">
        <v>1985</v>
      </c>
      <c r="C411" s="3" t="str">
        <f>"9789004212176"</f>
        <v>9789004212176</v>
      </c>
      <c r="D411" s="3" t="str">
        <f>"9789004206823"</f>
        <v>9789004206823</v>
      </c>
      <c r="E411" s="3" t="s">
        <v>611</v>
      </c>
      <c r="F411" s="3" t="s">
        <v>611</v>
      </c>
      <c r="G411" s="4">
        <v>41138</v>
      </c>
      <c r="H411" s="3" t="s">
        <v>20</v>
      </c>
      <c r="I411" s="3">
        <v>1</v>
      </c>
      <c r="J411" s="3" t="s">
        <v>1986</v>
      </c>
      <c r="K411" s="3" t="s">
        <v>1987</v>
      </c>
      <c r="L411" s="3" t="s">
        <v>1590</v>
      </c>
      <c r="M411" s="3" t="s">
        <v>1988</v>
      </c>
      <c r="N411" s="3"/>
      <c r="O411" s="3"/>
      <c r="P411" s="3" t="s">
        <v>25</v>
      </c>
      <c r="Q411" s="3" t="s">
        <v>5026</v>
      </c>
    </row>
    <row r="412" spans="1:17">
      <c r="A412" s="3">
        <v>1014234</v>
      </c>
      <c r="B412" s="3" t="s">
        <v>1989</v>
      </c>
      <c r="C412" s="3" t="str">
        <f>"9780810867574"</f>
        <v>9780810867574</v>
      </c>
      <c r="D412" s="3" t="str">
        <f>"9780810878983"</f>
        <v>9780810878983</v>
      </c>
      <c r="E412" s="3" t="s">
        <v>1773</v>
      </c>
      <c r="F412" s="3" t="s">
        <v>1773</v>
      </c>
      <c r="G412" s="4">
        <v>41165</v>
      </c>
      <c r="H412" s="3" t="s">
        <v>20</v>
      </c>
      <c r="I412" s="3"/>
      <c r="J412" s="3" t="s">
        <v>1774</v>
      </c>
      <c r="K412" s="3" t="s">
        <v>1990</v>
      </c>
      <c r="L412" s="3" t="s">
        <v>43</v>
      </c>
      <c r="M412" s="3" t="s">
        <v>1991</v>
      </c>
      <c r="N412" s="3">
        <v>781.65030000000002</v>
      </c>
      <c r="O412" s="3" t="s">
        <v>1992</v>
      </c>
      <c r="P412" s="3" t="s">
        <v>25</v>
      </c>
      <c r="Q412" s="3" t="s">
        <v>5027</v>
      </c>
    </row>
    <row r="413" spans="1:17">
      <c r="A413" s="3">
        <v>1015304</v>
      </c>
      <c r="B413" s="3" t="s">
        <v>1993</v>
      </c>
      <c r="C413" s="3" t="str">
        <f>"9780195396218"</f>
        <v>9780195396218</v>
      </c>
      <c r="D413" s="3" t="str">
        <f>"9780199978625"</f>
        <v>9780199978625</v>
      </c>
      <c r="E413" s="3" t="s">
        <v>910</v>
      </c>
      <c r="F413" s="3" t="s">
        <v>910</v>
      </c>
      <c r="G413" s="4">
        <v>41186</v>
      </c>
      <c r="H413" s="3" t="s">
        <v>20</v>
      </c>
      <c r="I413" s="3"/>
      <c r="J413" s="3"/>
      <c r="K413" s="3" t="s">
        <v>1994</v>
      </c>
      <c r="L413" s="3" t="s">
        <v>714</v>
      </c>
      <c r="M413" s="3" t="s">
        <v>1995</v>
      </c>
      <c r="N413" s="3" t="s">
        <v>1996</v>
      </c>
      <c r="O413" s="3" t="s">
        <v>1997</v>
      </c>
      <c r="P413" s="3" t="s">
        <v>25</v>
      </c>
      <c r="Q413" s="3" t="s">
        <v>5028</v>
      </c>
    </row>
    <row r="414" spans="1:17">
      <c r="A414" s="3">
        <v>1015307</v>
      </c>
      <c r="B414" s="3" t="s">
        <v>1998</v>
      </c>
      <c r="C414" s="3" t="str">
        <f>"9780195159318"</f>
        <v>9780195159318</v>
      </c>
      <c r="D414" s="3" t="str">
        <f>"9780199978601"</f>
        <v>9780199978601</v>
      </c>
      <c r="E414" s="3" t="s">
        <v>910</v>
      </c>
      <c r="F414" s="3" t="s">
        <v>910</v>
      </c>
      <c r="G414" s="4">
        <v>41135</v>
      </c>
      <c r="H414" s="3" t="s">
        <v>20</v>
      </c>
      <c r="I414" s="3"/>
      <c r="J414" s="3"/>
      <c r="K414" s="3" t="s">
        <v>1999</v>
      </c>
      <c r="L414" s="3" t="s">
        <v>58</v>
      </c>
      <c r="M414" s="3" t="s">
        <v>2000</v>
      </c>
      <c r="N414" s="3">
        <v>950.1</v>
      </c>
      <c r="O414" s="3" t="s">
        <v>2001</v>
      </c>
      <c r="P414" s="3" t="s">
        <v>25</v>
      </c>
      <c r="Q414" s="3" t="s">
        <v>5029</v>
      </c>
    </row>
    <row r="415" spans="1:17">
      <c r="A415" s="3">
        <v>1016412</v>
      </c>
      <c r="B415" s="3" t="s">
        <v>2002</v>
      </c>
      <c r="C415" s="3" t="str">
        <f>"9781412958837"</f>
        <v>9781412958837</v>
      </c>
      <c r="D415" s="3" t="str">
        <f>"9781452265766"</f>
        <v>9781452265766</v>
      </c>
      <c r="E415" s="3" t="s">
        <v>1873</v>
      </c>
      <c r="F415" s="3" t="s">
        <v>1873</v>
      </c>
      <c r="G415" s="4">
        <v>40225</v>
      </c>
      <c r="H415" s="3" t="s">
        <v>20</v>
      </c>
      <c r="I415" s="3">
        <v>1</v>
      </c>
      <c r="J415" s="3"/>
      <c r="K415" s="3" t="s">
        <v>2003</v>
      </c>
      <c r="L415" s="3" t="s">
        <v>532</v>
      </c>
      <c r="M415" s="3" t="s">
        <v>2004</v>
      </c>
      <c r="N415" s="3">
        <v>375.00029999999998</v>
      </c>
      <c r="O415" s="3" t="s">
        <v>2005</v>
      </c>
      <c r="P415" s="3" t="s">
        <v>25</v>
      </c>
      <c r="Q415" s="3" t="s">
        <v>5030</v>
      </c>
    </row>
    <row r="416" spans="1:17">
      <c r="A416" s="3">
        <v>1016415</v>
      </c>
      <c r="B416" s="3" t="s">
        <v>2006</v>
      </c>
      <c r="C416" s="3" t="str">
        <f>"9781412969185"</f>
        <v>9781412969185</v>
      </c>
      <c r="D416" s="3" t="str">
        <f>"9781452266404"</f>
        <v>9781452266404</v>
      </c>
      <c r="E416" s="3" t="s">
        <v>1873</v>
      </c>
      <c r="F416" s="3" t="s">
        <v>1873</v>
      </c>
      <c r="G416" s="4">
        <v>40563</v>
      </c>
      <c r="H416" s="3" t="s">
        <v>20</v>
      </c>
      <c r="I416" s="3">
        <v>1</v>
      </c>
      <c r="J416" s="3"/>
      <c r="K416" s="3" t="s">
        <v>2007</v>
      </c>
      <c r="L416" s="3" t="s">
        <v>521</v>
      </c>
      <c r="M416" s="3" t="s">
        <v>2008</v>
      </c>
      <c r="N416" s="3">
        <v>610</v>
      </c>
      <c r="O416" s="3" t="s">
        <v>2009</v>
      </c>
      <c r="P416" s="3" t="s">
        <v>25</v>
      </c>
      <c r="Q416" s="3" t="s">
        <v>5031</v>
      </c>
    </row>
    <row r="417" spans="1:17">
      <c r="A417" s="3">
        <v>1017176</v>
      </c>
      <c r="B417" s="3" t="s">
        <v>2010</v>
      </c>
      <c r="C417" s="3" t="str">
        <f>"9781118232729"</f>
        <v>9781118232729</v>
      </c>
      <c r="D417" s="3" t="str">
        <f>"9781118232750"</f>
        <v>9781118232750</v>
      </c>
      <c r="E417" s="3" t="s">
        <v>32</v>
      </c>
      <c r="F417" s="3" t="s">
        <v>33</v>
      </c>
      <c r="G417" s="4">
        <v>41218</v>
      </c>
      <c r="H417" s="3" t="s">
        <v>20</v>
      </c>
      <c r="I417" s="3">
        <v>1</v>
      </c>
      <c r="J417" s="3" t="s">
        <v>718</v>
      </c>
      <c r="K417" s="3" t="s">
        <v>2011</v>
      </c>
      <c r="L417" s="3" t="s">
        <v>118</v>
      </c>
      <c r="M417" s="3" t="s">
        <v>2012</v>
      </c>
      <c r="N417" s="3">
        <v>248.22</v>
      </c>
      <c r="O417" s="3" t="s">
        <v>2013</v>
      </c>
      <c r="P417" s="3" t="s">
        <v>25</v>
      </c>
      <c r="Q417" s="3" t="s">
        <v>5032</v>
      </c>
    </row>
    <row r="418" spans="1:17">
      <c r="A418" s="3">
        <v>1023027</v>
      </c>
      <c r="B418" s="3" t="s">
        <v>2014</v>
      </c>
      <c r="C418" s="3" t="str">
        <f>"9780231112918"</f>
        <v>9780231112918</v>
      </c>
      <c r="D418" s="3" t="str">
        <f>"9780231504836"</f>
        <v>9780231504836</v>
      </c>
      <c r="E418" s="3" t="s">
        <v>1779</v>
      </c>
      <c r="F418" s="3" t="s">
        <v>1779</v>
      </c>
      <c r="G418" s="4">
        <v>36831</v>
      </c>
      <c r="H418" s="3" t="s">
        <v>20</v>
      </c>
      <c r="I418" s="3"/>
      <c r="J418" s="3"/>
      <c r="K418" s="3" t="s">
        <v>2015</v>
      </c>
      <c r="L418" s="3" t="s">
        <v>2016</v>
      </c>
      <c r="M418" s="3" t="s">
        <v>2017</v>
      </c>
      <c r="N418" s="3">
        <v>82</v>
      </c>
      <c r="O418" s="3" t="s">
        <v>2018</v>
      </c>
      <c r="P418" s="3" t="s">
        <v>25</v>
      </c>
      <c r="Q418" s="3" t="s">
        <v>5033</v>
      </c>
    </row>
    <row r="419" spans="1:17">
      <c r="A419" s="3">
        <v>1031972</v>
      </c>
      <c r="B419" s="3" t="s">
        <v>2019</v>
      </c>
      <c r="C419" s="3" t="str">
        <f>"9780759122031"</f>
        <v>9780759122031</v>
      </c>
      <c r="D419" s="3" t="str">
        <f>"9780759122048"</f>
        <v>9780759122048</v>
      </c>
      <c r="E419" s="3" t="s">
        <v>2020</v>
      </c>
      <c r="F419" s="3" t="s">
        <v>2020</v>
      </c>
      <c r="G419" s="4">
        <v>41183</v>
      </c>
      <c r="H419" s="3" t="s">
        <v>20</v>
      </c>
      <c r="I419" s="3">
        <v>2</v>
      </c>
      <c r="J419" s="3" t="s">
        <v>2021</v>
      </c>
      <c r="K419" s="3" t="s">
        <v>2022</v>
      </c>
      <c r="L419" s="3" t="s">
        <v>64</v>
      </c>
      <c r="M419" s="3" t="s">
        <v>2023</v>
      </c>
      <c r="N419" s="3">
        <v>305.80072000000001</v>
      </c>
      <c r="O419" s="3" t="s">
        <v>2024</v>
      </c>
      <c r="P419" s="3" t="s">
        <v>25</v>
      </c>
      <c r="Q419" s="3" t="s">
        <v>5034</v>
      </c>
    </row>
    <row r="420" spans="1:17">
      <c r="A420" s="3">
        <v>1033794</v>
      </c>
      <c r="B420" s="3" t="s">
        <v>2025</v>
      </c>
      <c r="C420" s="3" t="str">
        <f>"9781137015143"</f>
        <v>9781137015143</v>
      </c>
      <c r="D420" s="3" t="str">
        <f>"9781137295408"</f>
        <v>9781137295408</v>
      </c>
      <c r="E420" s="3" t="s">
        <v>191</v>
      </c>
      <c r="F420" s="3" t="s">
        <v>192</v>
      </c>
      <c r="G420" s="4">
        <v>41086</v>
      </c>
      <c r="H420" s="3" t="s">
        <v>20</v>
      </c>
      <c r="I420" s="3">
        <v>2</v>
      </c>
      <c r="J420" s="3"/>
      <c r="K420" s="3" t="s">
        <v>2026</v>
      </c>
      <c r="L420" s="3" t="s">
        <v>1326</v>
      </c>
      <c r="M420" s="3" t="s">
        <v>2027</v>
      </c>
      <c r="N420" s="3">
        <v>305.3</v>
      </c>
      <c r="O420" s="3" t="s">
        <v>2028</v>
      </c>
      <c r="P420" s="3" t="s">
        <v>25</v>
      </c>
      <c r="Q420" s="3" t="s">
        <v>5035</v>
      </c>
    </row>
    <row r="421" spans="1:17">
      <c r="A421" s="3">
        <v>1033803</v>
      </c>
      <c r="B421" s="3" t="s">
        <v>2029</v>
      </c>
      <c r="C421" s="3" t="str">
        <f>"9780230238312"</f>
        <v>9780230238312</v>
      </c>
      <c r="D421" s="3" t="str">
        <f>"9780230321458"</f>
        <v>9780230321458</v>
      </c>
      <c r="E421" s="3" t="s">
        <v>191</v>
      </c>
      <c r="F421" s="3" t="s">
        <v>192</v>
      </c>
      <c r="G421" s="4">
        <v>40771</v>
      </c>
      <c r="H421" s="3" t="s">
        <v>20</v>
      </c>
      <c r="I421" s="3"/>
      <c r="J421" s="3"/>
      <c r="K421" s="3" t="s">
        <v>2030</v>
      </c>
      <c r="L421" s="3" t="s">
        <v>2031</v>
      </c>
      <c r="M421" s="3" t="s">
        <v>2032</v>
      </c>
      <c r="N421" s="3" t="s">
        <v>2033</v>
      </c>
      <c r="O421" s="3" t="s">
        <v>2034</v>
      </c>
      <c r="P421" s="3" t="s">
        <v>25</v>
      </c>
      <c r="Q421" s="3" t="s">
        <v>5036</v>
      </c>
    </row>
    <row r="422" spans="1:17">
      <c r="A422" s="3">
        <v>1034726</v>
      </c>
      <c r="B422" s="3" t="s">
        <v>2035</v>
      </c>
      <c r="C422" s="3" t="str">
        <f>"9781442211193"</f>
        <v>9781442211193</v>
      </c>
      <c r="D422" s="3" t="str">
        <f>"9781442211216"</f>
        <v>9781442211216</v>
      </c>
      <c r="E422" s="3" t="s">
        <v>2036</v>
      </c>
      <c r="F422" s="3" t="s">
        <v>2036</v>
      </c>
      <c r="G422" s="4">
        <v>41194</v>
      </c>
      <c r="H422" s="3" t="s">
        <v>20</v>
      </c>
      <c r="I422" s="3"/>
      <c r="J422" s="3"/>
      <c r="K422" s="3" t="s">
        <v>2037</v>
      </c>
      <c r="L422" s="3" t="s">
        <v>532</v>
      </c>
      <c r="M422" s="3" t="s">
        <v>2038</v>
      </c>
      <c r="N422" s="3">
        <v>370.11500000000001</v>
      </c>
      <c r="O422" s="3" t="s">
        <v>2039</v>
      </c>
      <c r="P422" s="3" t="s">
        <v>25</v>
      </c>
      <c r="Q422" s="3" t="s">
        <v>5037</v>
      </c>
    </row>
    <row r="423" spans="1:17">
      <c r="A423" s="3">
        <v>1037804</v>
      </c>
      <c r="B423" s="3" t="s">
        <v>2040</v>
      </c>
      <c r="C423" s="3" t="str">
        <f>"9780759121133"</f>
        <v>9780759121133</v>
      </c>
      <c r="D423" s="3" t="str">
        <f>"9780759121157"</f>
        <v>9780759121157</v>
      </c>
      <c r="E423" s="3" t="s">
        <v>2020</v>
      </c>
      <c r="F423" s="3" t="s">
        <v>2020</v>
      </c>
      <c r="G423" s="4">
        <v>41152</v>
      </c>
      <c r="H423" s="3" t="s">
        <v>20</v>
      </c>
      <c r="I423" s="3"/>
      <c r="J423" s="3"/>
      <c r="K423" s="3" t="s">
        <v>2041</v>
      </c>
      <c r="L423" s="3" t="s">
        <v>64</v>
      </c>
      <c r="M423" s="3" t="s">
        <v>2042</v>
      </c>
      <c r="N423" s="3">
        <v>361.2</v>
      </c>
      <c r="O423" s="3" t="s">
        <v>2043</v>
      </c>
      <c r="P423" s="3" t="s">
        <v>25</v>
      </c>
      <c r="Q423" s="3" t="s">
        <v>5038</v>
      </c>
    </row>
    <row r="424" spans="1:17">
      <c r="A424" s="3">
        <v>1042419</v>
      </c>
      <c r="B424" s="3" t="s">
        <v>2044</v>
      </c>
      <c r="C424" s="3" t="str">
        <f>"9780521762823"</f>
        <v>9780521762823</v>
      </c>
      <c r="D424" s="3" t="str">
        <f>"9781139781893"</f>
        <v>9781139781893</v>
      </c>
      <c r="E424" s="3" t="s">
        <v>41</v>
      </c>
      <c r="F424" s="3" t="s">
        <v>41</v>
      </c>
      <c r="G424" s="4">
        <v>40423</v>
      </c>
      <c r="H424" s="3" t="s">
        <v>20</v>
      </c>
      <c r="I424" s="3"/>
      <c r="J424" s="3" t="s">
        <v>134</v>
      </c>
      <c r="K424" s="3" t="s">
        <v>2045</v>
      </c>
      <c r="L424" s="3" t="s">
        <v>22</v>
      </c>
      <c r="M424" s="3" t="s">
        <v>2046</v>
      </c>
      <c r="N424" s="3">
        <v>821.7</v>
      </c>
      <c r="O424" s="3" t="s">
        <v>2047</v>
      </c>
      <c r="P424" s="3" t="s">
        <v>25</v>
      </c>
      <c r="Q424" s="3" t="s">
        <v>5039</v>
      </c>
    </row>
    <row r="425" spans="1:17">
      <c r="A425" s="3">
        <v>1042426</v>
      </c>
      <c r="B425" s="3" t="s">
        <v>2048</v>
      </c>
      <c r="C425" s="3" t="str">
        <f>"9780521767927"</f>
        <v>9780521767927</v>
      </c>
      <c r="D425" s="3" t="str">
        <f>"9781139781961"</f>
        <v>9781139781961</v>
      </c>
      <c r="E425" s="3" t="s">
        <v>41</v>
      </c>
      <c r="F425" s="3" t="s">
        <v>41</v>
      </c>
      <c r="G425" s="4">
        <v>40486</v>
      </c>
      <c r="H425" s="3" t="s">
        <v>20</v>
      </c>
      <c r="I425" s="3"/>
      <c r="J425" s="3" t="s">
        <v>134</v>
      </c>
      <c r="K425" s="3" t="s">
        <v>2049</v>
      </c>
      <c r="L425" s="3" t="s">
        <v>22</v>
      </c>
      <c r="M425" s="3" t="s">
        <v>2050</v>
      </c>
      <c r="N425" s="3">
        <v>801.95</v>
      </c>
      <c r="O425" s="3" t="s">
        <v>2051</v>
      </c>
      <c r="P425" s="3" t="s">
        <v>25</v>
      </c>
      <c r="Q425" s="3" t="s">
        <v>5040</v>
      </c>
    </row>
    <row r="426" spans="1:17">
      <c r="A426" s="3">
        <v>1042437</v>
      </c>
      <c r="B426" s="3" t="s">
        <v>2052</v>
      </c>
      <c r="C426" s="3" t="str">
        <f>"9780521859141"</f>
        <v>9780521859141</v>
      </c>
      <c r="D426" s="3" t="str">
        <f>"9781139782074"</f>
        <v>9781139782074</v>
      </c>
      <c r="E426" s="3" t="s">
        <v>41</v>
      </c>
      <c r="F426" s="3" t="s">
        <v>41</v>
      </c>
      <c r="G426" s="4">
        <v>40423</v>
      </c>
      <c r="H426" s="3" t="s">
        <v>20</v>
      </c>
      <c r="I426" s="3"/>
      <c r="J426" s="3" t="s">
        <v>134</v>
      </c>
      <c r="K426" s="3" t="s">
        <v>2053</v>
      </c>
      <c r="L426" s="3" t="s">
        <v>22</v>
      </c>
      <c r="M426" s="3" t="s">
        <v>2054</v>
      </c>
      <c r="N426" s="3" t="s">
        <v>2055</v>
      </c>
      <c r="O426" s="3" t="s">
        <v>2056</v>
      </c>
      <c r="P426" s="3" t="s">
        <v>25</v>
      </c>
      <c r="Q426" s="3" t="s">
        <v>5041</v>
      </c>
    </row>
    <row r="427" spans="1:17">
      <c r="A427" s="3">
        <v>1042449</v>
      </c>
      <c r="B427" s="3" t="s">
        <v>2057</v>
      </c>
      <c r="C427" s="3" t="str">
        <f>"9780521884624"</f>
        <v>9780521884624</v>
      </c>
      <c r="D427" s="3" t="str">
        <f>"9781139782197"</f>
        <v>9781139782197</v>
      </c>
      <c r="E427" s="3" t="s">
        <v>41</v>
      </c>
      <c r="F427" s="3" t="s">
        <v>41</v>
      </c>
      <c r="G427" s="4">
        <v>40413</v>
      </c>
      <c r="H427" s="3" t="s">
        <v>20</v>
      </c>
      <c r="I427" s="3"/>
      <c r="J427" s="3"/>
      <c r="K427" s="3" t="s">
        <v>2058</v>
      </c>
      <c r="L427" s="3" t="s">
        <v>58</v>
      </c>
      <c r="M427" s="3" t="s">
        <v>2059</v>
      </c>
      <c r="N427" s="3">
        <v>951.05092000000002</v>
      </c>
      <c r="O427" s="3" t="s">
        <v>2060</v>
      </c>
      <c r="P427" s="3" t="s">
        <v>25</v>
      </c>
      <c r="Q427" s="3" t="s">
        <v>5042</v>
      </c>
    </row>
    <row r="428" spans="1:17">
      <c r="A428" s="3">
        <v>1043124</v>
      </c>
      <c r="B428" s="3" t="s">
        <v>2061</v>
      </c>
      <c r="C428" s="3" t="str">
        <f>"9780199976133"</f>
        <v>9780199976133</v>
      </c>
      <c r="D428" s="3" t="str">
        <f>"9780199976140"</f>
        <v>9780199976140</v>
      </c>
      <c r="E428" s="3" t="s">
        <v>910</v>
      </c>
      <c r="F428" s="3" t="s">
        <v>910</v>
      </c>
      <c r="G428" s="4">
        <v>41184</v>
      </c>
      <c r="H428" s="3" t="s">
        <v>20</v>
      </c>
      <c r="I428" s="3"/>
      <c r="J428" s="3" t="s">
        <v>1423</v>
      </c>
      <c r="K428" s="3" t="s">
        <v>2062</v>
      </c>
      <c r="L428" s="3" t="s">
        <v>816</v>
      </c>
      <c r="M428" s="3" t="s">
        <v>2063</v>
      </c>
      <c r="N428" s="3">
        <v>362.10425097299998</v>
      </c>
      <c r="O428" s="3" t="s">
        <v>2064</v>
      </c>
      <c r="P428" s="3" t="s">
        <v>25</v>
      </c>
      <c r="Q428" s="3" t="s">
        <v>5043</v>
      </c>
    </row>
    <row r="429" spans="1:17">
      <c r="A429" s="3">
        <v>1057771</v>
      </c>
      <c r="B429" s="3" t="s">
        <v>2065</v>
      </c>
      <c r="C429" s="3" t="str">
        <f>"9780814740699"</f>
        <v>9780814740699</v>
      </c>
      <c r="D429" s="3" t="str">
        <f>"9780814738979"</f>
        <v>9780814738979</v>
      </c>
      <c r="E429" s="3" t="s">
        <v>1683</v>
      </c>
      <c r="F429" s="3" t="s">
        <v>1683</v>
      </c>
      <c r="G429" s="4">
        <v>41211</v>
      </c>
      <c r="H429" s="3" t="s">
        <v>20</v>
      </c>
      <c r="I429" s="3">
        <v>1</v>
      </c>
      <c r="J429" s="3" t="s">
        <v>2066</v>
      </c>
      <c r="K429" s="3" t="s">
        <v>2067</v>
      </c>
      <c r="L429" s="3" t="s">
        <v>43</v>
      </c>
      <c r="M429" s="3" t="s">
        <v>2068</v>
      </c>
      <c r="N429" s="3" t="s">
        <v>2069</v>
      </c>
      <c r="O429" s="3" t="s">
        <v>2070</v>
      </c>
      <c r="P429" s="3" t="s">
        <v>25</v>
      </c>
      <c r="Q429" s="3" t="s">
        <v>5044</v>
      </c>
    </row>
    <row r="430" spans="1:17">
      <c r="A430" s="3">
        <v>1062339</v>
      </c>
      <c r="B430" s="3" t="s">
        <v>2071</v>
      </c>
      <c r="C430" s="3" t="str">
        <f>"9780827608924"</f>
        <v>9780827608924</v>
      </c>
      <c r="D430" s="3" t="str">
        <f>"9780827609716"</f>
        <v>9780827609716</v>
      </c>
      <c r="E430" s="3" t="s">
        <v>2072</v>
      </c>
      <c r="F430" s="3" t="s">
        <v>2072</v>
      </c>
      <c r="G430" s="4">
        <v>39860</v>
      </c>
      <c r="H430" s="3" t="s">
        <v>20</v>
      </c>
      <c r="I430" s="3">
        <v>1</v>
      </c>
      <c r="J430" s="3"/>
      <c r="K430" s="3" t="s">
        <v>2073</v>
      </c>
      <c r="L430" s="3" t="s">
        <v>118</v>
      </c>
      <c r="M430" s="3" t="s">
        <v>2074</v>
      </c>
      <c r="N430" s="3">
        <v>296.02999999999997</v>
      </c>
      <c r="O430" s="3" t="s">
        <v>2075</v>
      </c>
      <c r="P430" s="3" t="s">
        <v>25</v>
      </c>
      <c r="Q430" s="3" t="s">
        <v>5045</v>
      </c>
    </row>
    <row r="431" spans="1:17">
      <c r="A431" s="3">
        <v>1062347</v>
      </c>
      <c r="B431" s="3" t="s">
        <v>2076</v>
      </c>
      <c r="C431" s="3" t="str">
        <f>"9780827608320"</f>
        <v>9780827608320</v>
      </c>
      <c r="D431" s="3" t="str">
        <f>"9780827609969"</f>
        <v>9780827609969</v>
      </c>
      <c r="E431" s="3" t="s">
        <v>2072</v>
      </c>
      <c r="F431" s="3" t="s">
        <v>2072</v>
      </c>
      <c r="G431" s="4">
        <v>38991</v>
      </c>
      <c r="H431" s="3" t="s">
        <v>20</v>
      </c>
      <c r="I431" s="3">
        <v>1</v>
      </c>
      <c r="J431" s="3" t="s">
        <v>2077</v>
      </c>
      <c r="K431" s="3" t="s">
        <v>2078</v>
      </c>
      <c r="L431" s="3" t="s">
        <v>2079</v>
      </c>
      <c r="M431" s="3" t="s">
        <v>2080</v>
      </c>
      <c r="N431" s="3">
        <v>413</v>
      </c>
      <c r="O431" s="3" t="s">
        <v>2081</v>
      </c>
      <c r="P431" s="3" t="s">
        <v>25</v>
      </c>
      <c r="Q431" s="3" t="s">
        <v>5046</v>
      </c>
    </row>
    <row r="432" spans="1:17">
      <c r="A432" s="3">
        <v>1069113</v>
      </c>
      <c r="B432" s="3" t="s">
        <v>2082</v>
      </c>
      <c r="C432" s="3" t="str">
        <f>"9781615308774"</f>
        <v>9781615308774</v>
      </c>
      <c r="D432" s="3" t="str">
        <f>"9781615308835"</f>
        <v>9781615308835</v>
      </c>
      <c r="E432" s="3" t="s">
        <v>983</v>
      </c>
      <c r="F432" s="3" t="s">
        <v>984</v>
      </c>
      <c r="G432" s="4">
        <v>41258</v>
      </c>
      <c r="H432" s="3" t="s">
        <v>20</v>
      </c>
      <c r="I432" s="3">
        <v>1</v>
      </c>
      <c r="J432" s="3" t="s">
        <v>2083</v>
      </c>
      <c r="K432" s="3" t="s">
        <v>2084</v>
      </c>
      <c r="L432" s="3" t="s">
        <v>43</v>
      </c>
      <c r="M432" s="3" t="s">
        <v>2085</v>
      </c>
      <c r="N432" s="3">
        <v>759.03</v>
      </c>
      <c r="O432" s="3" t="s">
        <v>2086</v>
      </c>
      <c r="P432" s="3" t="s">
        <v>25</v>
      </c>
      <c r="Q432" s="3" t="s">
        <v>5047</v>
      </c>
    </row>
    <row r="433" spans="1:17">
      <c r="A433" s="3">
        <v>1069121</v>
      </c>
      <c r="B433" s="3" t="s">
        <v>2087</v>
      </c>
      <c r="C433" s="3" t="str">
        <f>"9781615309061"</f>
        <v>9781615309061</v>
      </c>
      <c r="D433" s="3" t="str">
        <f>"9781615309115"</f>
        <v>9781615309115</v>
      </c>
      <c r="E433" s="3" t="s">
        <v>983</v>
      </c>
      <c r="F433" s="3" t="s">
        <v>984</v>
      </c>
      <c r="G433" s="4">
        <v>41258</v>
      </c>
      <c r="H433" s="3" t="s">
        <v>20</v>
      </c>
      <c r="I433" s="3">
        <v>1</v>
      </c>
      <c r="J433" s="3" t="s">
        <v>2088</v>
      </c>
      <c r="K433" s="3" t="s">
        <v>986</v>
      </c>
      <c r="L433" s="3" t="s">
        <v>43</v>
      </c>
      <c r="M433" s="3" t="s">
        <v>2089</v>
      </c>
      <c r="N433" s="3" t="s">
        <v>2090</v>
      </c>
      <c r="O433" s="3" t="s">
        <v>2091</v>
      </c>
      <c r="P433" s="3" t="s">
        <v>25</v>
      </c>
      <c r="Q433" s="3" t="s">
        <v>5048</v>
      </c>
    </row>
    <row r="434" spans="1:17">
      <c r="A434" s="3">
        <v>1069125</v>
      </c>
      <c r="B434" s="3" t="s">
        <v>2092</v>
      </c>
      <c r="C434" s="3" t="str">
        <f>"9781615309207"</f>
        <v>9781615309207</v>
      </c>
      <c r="D434" s="3" t="str">
        <f>"9781615309221"</f>
        <v>9781615309221</v>
      </c>
      <c r="E434" s="3" t="s">
        <v>983</v>
      </c>
      <c r="F434" s="3" t="s">
        <v>984</v>
      </c>
      <c r="G434" s="4">
        <v>41258</v>
      </c>
      <c r="H434" s="3" t="s">
        <v>20</v>
      </c>
      <c r="I434" s="3">
        <v>1</v>
      </c>
      <c r="J434" s="3" t="s">
        <v>2093</v>
      </c>
      <c r="K434" s="3" t="s">
        <v>1483</v>
      </c>
      <c r="L434" s="3" t="s">
        <v>2094</v>
      </c>
      <c r="M434" s="3" t="s">
        <v>2095</v>
      </c>
      <c r="N434" s="3">
        <v>613.20000000000005</v>
      </c>
      <c r="O434" s="3" t="s">
        <v>2096</v>
      </c>
      <c r="P434" s="3" t="s">
        <v>25</v>
      </c>
      <c r="Q434" s="3" t="s">
        <v>5049</v>
      </c>
    </row>
    <row r="435" spans="1:17">
      <c r="A435" s="3">
        <v>1073478</v>
      </c>
      <c r="B435" s="3" t="s">
        <v>2097</v>
      </c>
      <c r="C435" s="3" t="str">
        <f>"9780199890262"</f>
        <v>9780199890262</v>
      </c>
      <c r="D435" s="3" t="str">
        <f>"9780199995943"</f>
        <v>9780199995943</v>
      </c>
      <c r="E435" s="3" t="s">
        <v>910</v>
      </c>
      <c r="F435" s="3" t="s">
        <v>910</v>
      </c>
      <c r="G435" s="4">
        <v>43886</v>
      </c>
      <c r="H435" s="3" t="s">
        <v>20</v>
      </c>
      <c r="I435" s="3">
        <v>2</v>
      </c>
      <c r="J435" s="3" t="s">
        <v>2098</v>
      </c>
      <c r="K435" s="3" t="s">
        <v>2099</v>
      </c>
      <c r="L435" s="3" t="s">
        <v>714</v>
      </c>
      <c r="M435" s="3" t="s">
        <v>2100</v>
      </c>
      <c r="N435" s="3">
        <v>336.20097299999998</v>
      </c>
      <c r="O435" s="3" t="s">
        <v>2101</v>
      </c>
      <c r="P435" s="3" t="s">
        <v>25</v>
      </c>
      <c r="Q435" s="3" t="s">
        <v>5050</v>
      </c>
    </row>
    <row r="436" spans="1:17">
      <c r="A436" s="3">
        <v>1073487</v>
      </c>
      <c r="B436" s="3" t="s">
        <v>2102</v>
      </c>
      <c r="C436" s="3" t="str">
        <f>"9780199235032"</f>
        <v>9780199235032</v>
      </c>
      <c r="D436" s="3" t="str">
        <f>"9780191029318"</f>
        <v>9780191029318</v>
      </c>
      <c r="E436" s="3" t="s">
        <v>910</v>
      </c>
      <c r="F436" s="3" t="s">
        <v>910</v>
      </c>
      <c r="G436" s="4">
        <v>40521</v>
      </c>
      <c r="H436" s="3" t="s">
        <v>20</v>
      </c>
      <c r="I436" s="3"/>
      <c r="J436" s="3"/>
      <c r="K436" s="3" t="s">
        <v>2103</v>
      </c>
      <c r="L436" s="3" t="s">
        <v>225</v>
      </c>
      <c r="M436" s="3" t="s">
        <v>2104</v>
      </c>
      <c r="N436" s="3">
        <v>305.89240089999998</v>
      </c>
      <c r="O436" s="3" t="s">
        <v>2105</v>
      </c>
      <c r="P436" s="3" t="s">
        <v>25</v>
      </c>
      <c r="Q436" s="3" t="s">
        <v>5051</v>
      </c>
    </row>
    <row r="437" spans="1:17">
      <c r="A437" s="3">
        <v>1073489</v>
      </c>
      <c r="B437" s="3" t="s">
        <v>2106</v>
      </c>
      <c r="C437" s="3" t="str">
        <f>"9780199565597"</f>
        <v>9780199565597</v>
      </c>
      <c r="D437" s="3" t="str">
        <f>"9780191029486"</f>
        <v>9780191029486</v>
      </c>
      <c r="E437" s="3" t="s">
        <v>910</v>
      </c>
      <c r="F437" s="3" t="s">
        <v>910</v>
      </c>
      <c r="G437" s="4">
        <v>40624</v>
      </c>
      <c r="H437" s="3" t="s">
        <v>20</v>
      </c>
      <c r="I437" s="3"/>
      <c r="J437" s="3"/>
      <c r="K437" s="3" t="s">
        <v>2107</v>
      </c>
      <c r="L437" s="3" t="s">
        <v>1389</v>
      </c>
      <c r="M437" s="3" t="s">
        <v>2108</v>
      </c>
      <c r="N437" s="3">
        <v>551.52459999999996</v>
      </c>
      <c r="O437" s="3" t="s">
        <v>2109</v>
      </c>
      <c r="P437" s="3" t="s">
        <v>25</v>
      </c>
      <c r="Q437" s="3" t="s">
        <v>5052</v>
      </c>
    </row>
    <row r="438" spans="1:17">
      <c r="A438" s="3">
        <v>1075605</v>
      </c>
      <c r="B438" s="3" t="s">
        <v>2110</v>
      </c>
      <c r="C438" s="3" t="str">
        <f>"9783110238129"</f>
        <v>9783110238129</v>
      </c>
      <c r="D438" s="3" t="str">
        <f>"9783110238136"</f>
        <v>9783110238136</v>
      </c>
      <c r="E438" s="3" t="s">
        <v>2111</v>
      </c>
      <c r="F438" s="3" t="s">
        <v>2112</v>
      </c>
      <c r="G438" s="4">
        <v>41627</v>
      </c>
      <c r="H438" s="3" t="s">
        <v>20</v>
      </c>
      <c r="I438" s="3"/>
      <c r="J438" s="3" t="s">
        <v>2113</v>
      </c>
      <c r="K438" s="3" t="s">
        <v>2114</v>
      </c>
      <c r="L438" s="3" t="s">
        <v>2115</v>
      </c>
      <c r="M438" s="3" t="s">
        <v>2116</v>
      </c>
      <c r="N438" s="3">
        <v>6.35</v>
      </c>
      <c r="O438" s="3" t="s">
        <v>2117</v>
      </c>
      <c r="P438" s="3" t="s">
        <v>25</v>
      </c>
      <c r="Q438" s="3" t="s">
        <v>5053</v>
      </c>
    </row>
    <row r="439" spans="1:17">
      <c r="A439" s="3">
        <v>1075997</v>
      </c>
      <c r="B439" s="3" t="s">
        <v>2118</v>
      </c>
      <c r="C439" s="3" t="str">
        <f>"9780786471218"</f>
        <v>9780786471218</v>
      </c>
      <c r="D439" s="3" t="str">
        <f>"9781476601380"</f>
        <v>9781476601380</v>
      </c>
      <c r="E439" s="3" t="s">
        <v>828</v>
      </c>
      <c r="F439" s="3" t="s">
        <v>828</v>
      </c>
      <c r="G439" s="4">
        <v>41229</v>
      </c>
      <c r="H439" s="3" t="s">
        <v>20</v>
      </c>
      <c r="I439" s="3">
        <v>1</v>
      </c>
      <c r="J439" s="3"/>
      <c r="K439" s="3" t="s">
        <v>2119</v>
      </c>
      <c r="L439" s="3" t="s">
        <v>118</v>
      </c>
      <c r="M439" s="3" t="s">
        <v>2120</v>
      </c>
      <c r="N439" s="3">
        <v>220.52002999999999</v>
      </c>
      <c r="O439" s="3" t="s">
        <v>2121</v>
      </c>
      <c r="P439" s="3" t="s">
        <v>25</v>
      </c>
      <c r="Q439" s="3" t="s">
        <v>5054</v>
      </c>
    </row>
    <row r="440" spans="1:17">
      <c r="A440" s="3">
        <v>1081564</v>
      </c>
      <c r="B440" s="3" t="s">
        <v>2122</v>
      </c>
      <c r="C440" s="3" t="str">
        <f>"9789004234710"</f>
        <v>9789004234710</v>
      </c>
      <c r="D440" s="3" t="str">
        <f>"9789004234727"</f>
        <v>9789004234727</v>
      </c>
      <c r="E440" s="3" t="s">
        <v>611</v>
      </c>
      <c r="F440" s="3" t="s">
        <v>611</v>
      </c>
      <c r="G440" s="4">
        <v>41205</v>
      </c>
      <c r="H440" s="3" t="s">
        <v>20</v>
      </c>
      <c r="I440" s="3">
        <v>1</v>
      </c>
      <c r="J440" s="3"/>
      <c r="K440" s="3" t="s">
        <v>629</v>
      </c>
      <c r="L440" s="3" t="s">
        <v>354</v>
      </c>
      <c r="M440" s="3" t="s">
        <v>2123</v>
      </c>
      <c r="N440" s="3" t="s">
        <v>2124</v>
      </c>
      <c r="O440" s="3"/>
      <c r="P440" s="3" t="s">
        <v>25</v>
      </c>
      <c r="Q440" s="3" t="s">
        <v>5055</v>
      </c>
    </row>
    <row r="441" spans="1:17">
      <c r="A441" s="3">
        <v>1081581</v>
      </c>
      <c r="B441" s="3" t="s">
        <v>2125</v>
      </c>
      <c r="C441" s="3" t="str">
        <f>"9789004235939"</f>
        <v>9789004235939</v>
      </c>
      <c r="D441" s="3" t="str">
        <f>"9789004236462"</f>
        <v>9789004236462</v>
      </c>
      <c r="E441" s="3" t="s">
        <v>611</v>
      </c>
      <c r="F441" s="3" t="s">
        <v>611</v>
      </c>
      <c r="G441" s="4">
        <v>41222</v>
      </c>
      <c r="H441" s="3" t="s">
        <v>20</v>
      </c>
      <c r="I441" s="3">
        <v>1</v>
      </c>
      <c r="J441" s="3" t="s">
        <v>1986</v>
      </c>
      <c r="K441" s="3" t="s">
        <v>1171</v>
      </c>
      <c r="L441" s="3" t="s">
        <v>58</v>
      </c>
      <c r="M441" s="3" t="s">
        <v>2126</v>
      </c>
      <c r="N441" s="3">
        <v>937.06</v>
      </c>
      <c r="O441" s="3"/>
      <c r="P441" s="3" t="s">
        <v>25</v>
      </c>
      <c r="Q441" s="3" t="s">
        <v>5056</v>
      </c>
    </row>
    <row r="442" spans="1:17">
      <c r="A442" s="3">
        <v>1102312</v>
      </c>
      <c r="B442" s="3" t="s">
        <v>2127</v>
      </c>
      <c r="C442" s="3" t="str">
        <f>"9789004223622"</f>
        <v>9789004223622</v>
      </c>
      <c r="D442" s="3" t="str">
        <f>"9789004241961"</f>
        <v>9789004241961</v>
      </c>
      <c r="E442" s="3" t="s">
        <v>611</v>
      </c>
      <c r="F442" s="3" t="s">
        <v>611</v>
      </c>
      <c r="G442" s="4">
        <v>41250</v>
      </c>
      <c r="H442" s="3" t="s">
        <v>20</v>
      </c>
      <c r="I442" s="3">
        <v>1</v>
      </c>
      <c r="J442" s="3" t="s">
        <v>2128</v>
      </c>
      <c r="K442" s="3" t="s">
        <v>2129</v>
      </c>
      <c r="L442" s="3" t="s">
        <v>22</v>
      </c>
      <c r="M442" s="3" t="s">
        <v>2130</v>
      </c>
      <c r="N442" s="3">
        <v>874.01</v>
      </c>
      <c r="O442" s="3" t="s">
        <v>2131</v>
      </c>
      <c r="P442" s="3" t="s">
        <v>25</v>
      </c>
      <c r="Q442" s="3" t="s">
        <v>5057</v>
      </c>
    </row>
    <row r="443" spans="1:17">
      <c r="A443" s="3">
        <v>1104468</v>
      </c>
      <c r="B443" s="3" t="s">
        <v>2132</v>
      </c>
      <c r="C443" s="3" t="str">
        <f>"9781610488679"</f>
        <v>9781610488679</v>
      </c>
      <c r="D443" s="3" t="str">
        <f>"9781610488686"</f>
        <v>9781610488686</v>
      </c>
      <c r="E443" s="3" t="s">
        <v>1755</v>
      </c>
      <c r="F443" s="3" t="s">
        <v>1755</v>
      </c>
      <c r="G443" s="4">
        <v>41198</v>
      </c>
      <c r="H443" s="3" t="s">
        <v>20</v>
      </c>
      <c r="I443" s="3"/>
      <c r="J443" s="3"/>
      <c r="K443" s="3" t="s">
        <v>2133</v>
      </c>
      <c r="L443" s="3" t="s">
        <v>532</v>
      </c>
      <c r="M443" s="3" t="s">
        <v>2134</v>
      </c>
      <c r="N443" s="3">
        <v>378.24200000000002</v>
      </c>
      <c r="O443" s="3" t="s">
        <v>2135</v>
      </c>
      <c r="P443" s="3" t="s">
        <v>25</v>
      </c>
      <c r="Q443" s="3" t="s">
        <v>5058</v>
      </c>
    </row>
    <row r="444" spans="1:17">
      <c r="A444" s="3">
        <v>1107716</v>
      </c>
      <c r="B444" s="3" t="s">
        <v>2136</v>
      </c>
      <c r="C444" s="3" t="str">
        <f>"9780195390841"</f>
        <v>9780195390841</v>
      </c>
      <c r="D444" s="3" t="str">
        <f>"9780199874996"</f>
        <v>9780199874996</v>
      </c>
      <c r="E444" s="3" t="s">
        <v>910</v>
      </c>
      <c r="F444" s="3" t="s">
        <v>910</v>
      </c>
      <c r="G444" s="4">
        <v>40848</v>
      </c>
      <c r="H444" s="3" t="s">
        <v>20</v>
      </c>
      <c r="I444" s="3"/>
      <c r="J444" s="3" t="s">
        <v>1371</v>
      </c>
      <c r="K444" s="3" t="s">
        <v>2137</v>
      </c>
      <c r="L444" s="3" t="s">
        <v>204</v>
      </c>
      <c r="M444" s="3" t="s">
        <v>2138</v>
      </c>
      <c r="N444" s="3">
        <v>617.70000000000005</v>
      </c>
      <c r="O444" s="3" t="s">
        <v>2139</v>
      </c>
      <c r="P444" s="3" t="s">
        <v>25</v>
      </c>
      <c r="Q444" s="3" t="s">
        <v>5059</v>
      </c>
    </row>
    <row r="445" spans="1:17">
      <c r="A445" s="3">
        <v>1109718</v>
      </c>
      <c r="B445" s="3" t="s">
        <v>2140</v>
      </c>
      <c r="C445" s="3" t="str">
        <f>"9781848169838"</f>
        <v>9781848169838</v>
      </c>
      <c r="D445" s="3" t="str">
        <f>"9781848169845"</f>
        <v>9781848169845</v>
      </c>
      <c r="E445" s="3" t="s">
        <v>1404</v>
      </c>
      <c r="F445" s="3" t="s">
        <v>2141</v>
      </c>
      <c r="G445" s="4">
        <v>41275</v>
      </c>
      <c r="H445" s="3" t="s">
        <v>20</v>
      </c>
      <c r="I445" s="3"/>
      <c r="J445" s="3" t="s">
        <v>2142</v>
      </c>
      <c r="K445" s="3" t="s">
        <v>2143</v>
      </c>
      <c r="L445" s="3" t="s">
        <v>2144</v>
      </c>
      <c r="M445" s="3" t="s">
        <v>2145</v>
      </c>
      <c r="N445" s="3">
        <v>577.54999999999995</v>
      </c>
      <c r="O445" s="3" t="s">
        <v>2146</v>
      </c>
      <c r="P445" s="3" t="s">
        <v>25</v>
      </c>
      <c r="Q445" s="3" t="s">
        <v>5060</v>
      </c>
    </row>
    <row r="446" spans="1:17">
      <c r="A446" s="3">
        <v>1111289</v>
      </c>
      <c r="B446" s="3" t="s">
        <v>2147</v>
      </c>
      <c r="C446" s="3" t="str">
        <f>"9780826106230"</f>
        <v>9780826106230</v>
      </c>
      <c r="D446" s="3" t="str">
        <f>"9780826106247"</f>
        <v>9780826106247</v>
      </c>
      <c r="E446" s="3" t="s">
        <v>496</v>
      </c>
      <c r="F446" s="3" t="s">
        <v>496</v>
      </c>
      <c r="G446" s="4">
        <v>41456</v>
      </c>
      <c r="H446" s="3" t="s">
        <v>20</v>
      </c>
      <c r="I446" s="3">
        <v>1</v>
      </c>
      <c r="J446" s="3"/>
      <c r="K446" s="3" t="s">
        <v>2148</v>
      </c>
      <c r="L446" s="3" t="s">
        <v>1920</v>
      </c>
      <c r="M446" s="3" t="s">
        <v>2149</v>
      </c>
      <c r="N446" s="3" t="s">
        <v>2150</v>
      </c>
      <c r="O446" s="3" t="s">
        <v>2151</v>
      </c>
      <c r="P446" s="3" t="s">
        <v>25</v>
      </c>
      <c r="Q446" s="3" t="s">
        <v>5061</v>
      </c>
    </row>
    <row r="447" spans="1:17">
      <c r="A447" s="3">
        <v>1114595</v>
      </c>
      <c r="B447" s="3" t="s">
        <v>2152</v>
      </c>
      <c r="C447" s="3" t="str">
        <f>"9780814758908"</f>
        <v>9780814758908</v>
      </c>
      <c r="D447" s="3" t="str">
        <f>"9780814759226"</f>
        <v>9780814759226</v>
      </c>
      <c r="E447" s="3" t="s">
        <v>1683</v>
      </c>
      <c r="F447" s="3" t="s">
        <v>1683</v>
      </c>
      <c r="G447" s="4">
        <v>41281</v>
      </c>
      <c r="H447" s="3" t="s">
        <v>20</v>
      </c>
      <c r="I447" s="3">
        <v>1</v>
      </c>
      <c r="J447" s="3"/>
      <c r="K447" s="3" t="s">
        <v>2153</v>
      </c>
      <c r="L447" s="3" t="s">
        <v>2154</v>
      </c>
      <c r="M447" s="3" t="s">
        <v>2155</v>
      </c>
      <c r="N447" s="3">
        <v>907.202</v>
      </c>
      <c r="O447" s="3" t="s">
        <v>2156</v>
      </c>
      <c r="P447" s="3" t="s">
        <v>25</v>
      </c>
      <c r="Q447" s="3" t="s">
        <v>5062</v>
      </c>
    </row>
    <row r="448" spans="1:17">
      <c r="A448" s="3">
        <v>1118490</v>
      </c>
      <c r="B448" s="3" t="s">
        <v>2157</v>
      </c>
      <c r="C448" s="3" t="str">
        <f>"9781118325018"</f>
        <v>9781118325018</v>
      </c>
      <c r="D448" s="3" t="str">
        <f>"9781118325056"</f>
        <v>9781118325056</v>
      </c>
      <c r="E448" s="3" t="s">
        <v>32</v>
      </c>
      <c r="F448" s="3" t="s">
        <v>33</v>
      </c>
      <c r="G448" s="4">
        <v>41288</v>
      </c>
      <c r="H448" s="3" t="s">
        <v>20</v>
      </c>
      <c r="I448" s="3">
        <v>1</v>
      </c>
      <c r="J448" s="3" t="s">
        <v>455</v>
      </c>
      <c r="K448" s="3" t="s">
        <v>2158</v>
      </c>
      <c r="L448" s="3" t="s">
        <v>58</v>
      </c>
      <c r="M448" s="3" t="s">
        <v>2159</v>
      </c>
      <c r="N448" s="3">
        <v>940.53</v>
      </c>
      <c r="O448" s="3" t="s">
        <v>2160</v>
      </c>
      <c r="P448" s="3" t="s">
        <v>25</v>
      </c>
      <c r="Q448" s="3" t="s">
        <v>5063</v>
      </c>
    </row>
    <row r="449" spans="1:17">
      <c r="A449" s="3">
        <v>1118755</v>
      </c>
      <c r="B449" s="3" t="s">
        <v>2161</v>
      </c>
      <c r="C449" s="3" t="str">
        <f>"9781118325988"</f>
        <v>9781118325988</v>
      </c>
      <c r="D449" s="3" t="str">
        <f>"9781118326015"</f>
        <v>9781118326015</v>
      </c>
      <c r="E449" s="3" t="s">
        <v>32</v>
      </c>
      <c r="F449" s="3" t="s">
        <v>33</v>
      </c>
      <c r="G449" s="4">
        <v>41303</v>
      </c>
      <c r="H449" s="3" t="s">
        <v>20</v>
      </c>
      <c r="I449" s="3">
        <v>5</v>
      </c>
      <c r="J449" s="3"/>
      <c r="K449" s="3" t="s">
        <v>2162</v>
      </c>
      <c r="L449" s="3" t="s">
        <v>22</v>
      </c>
      <c r="M449" s="3" t="s">
        <v>2163</v>
      </c>
      <c r="N449" s="3">
        <v>803</v>
      </c>
      <c r="O449" s="3" t="s">
        <v>2164</v>
      </c>
      <c r="P449" s="3" t="s">
        <v>25</v>
      </c>
      <c r="Q449" s="3" t="s">
        <v>5064</v>
      </c>
    </row>
    <row r="450" spans="1:17">
      <c r="A450" s="3">
        <v>1120268</v>
      </c>
      <c r="B450" s="3" t="s">
        <v>2165</v>
      </c>
      <c r="C450" s="3" t="str">
        <f>"9781444335347"</f>
        <v>9781444335347</v>
      </c>
      <c r="D450" s="3" t="str">
        <f>"9781118279533"</f>
        <v>9781118279533</v>
      </c>
      <c r="E450" s="3" t="s">
        <v>32</v>
      </c>
      <c r="F450" s="3" t="s">
        <v>33</v>
      </c>
      <c r="G450" s="4">
        <v>41162</v>
      </c>
      <c r="H450" s="3" t="s">
        <v>20</v>
      </c>
      <c r="I450" s="3">
        <v>1</v>
      </c>
      <c r="J450" s="3" t="s">
        <v>455</v>
      </c>
      <c r="K450" s="3" t="s">
        <v>2166</v>
      </c>
      <c r="L450" s="3" t="s">
        <v>1252</v>
      </c>
      <c r="M450" s="3" t="s">
        <v>2167</v>
      </c>
      <c r="N450" s="3">
        <v>304.209</v>
      </c>
      <c r="O450" s="3" t="s">
        <v>2168</v>
      </c>
      <c r="P450" s="3" t="s">
        <v>25</v>
      </c>
      <c r="Q450" s="3" t="s">
        <v>5065</v>
      </c>
    </row>
    <row r="451" spans="1:17">
      <c r="A451" s="3">
        <v>1120572</v>
      </c>
      <c r="B451" s="3" t="s">
        <v>2169</v>
      </c>
      <c r="C451" s="3" t="str">
        <f>"9781118447567"</f>
        <v>9781118447567</v>
      </c>
      <c r="D451" s="3" t="str">
        <f>"9781118447543"</f>
        <v>9781118447543</v>
      </c>
      <c r="E451" s="3" t="s">
        <v>32</v>
      </c>
      <c r="F451" s="3" t="s">
        <v>33</v>
      </c>
      <c r="G451" s="4">
        <v>41241</v>
      </c>
      <c r="H451" s="3" t="s">
        <v>20</v>
      </c>
      <c r="I451" s="3">
        <v>3</v>
      </c>
      <c r="J451" s="3"/>
      <c r="K451" s="3" t="s">
        <v>2170</v>
      </c>
      <c r="L451" s="3" t="s">
        <v>2171</v>
      </c>
      <c r="M451" s="3" t="s">
        <v>2172</v>
      </c>
      <c r="N451" s="3" t="s">
        <v>2173</v>
      </c>
      <c r="O451" s="3" t="s">
        <v>2174</v>
      </c>
      <c r="P451" s="3" t="s">
        <v>25</v>
      </c>
      <c r="Q451" s="3" t="s">
        <v>5066</v>
      </c>
    </row>
    <row r="452" spans="1:17">
      <c r="A452" s="3">
        <v>1120580</v>
      </c>
      <c r="B452" s="3" t="s">
        <v>2175</v>
      </c>
      <c r="C452" s="3" t="str">
        <f>"9781444337242"</f>
        <v>9781444337242</v>
      </c>
      <c r="D452" s="3" t="str">
        <f>"9781118322642"</f>
        <v>9781118322642</v>
      </c>
      <c r="E452" s="3" t="s">
        <v>32</v>
      </c>
      <c r="F452" s="3" t="s">
        <v>33</v>
      </c>
      <c r="G452" s="4">
        <v>41309</v>
      </c>
      <c r="H452" s="3" t="s">
        <v>20</v>
      </c>
      <c r="I452" s="3">
        <v>1</v>
      </c>
      <c r="J452" s="3"/>
      <c r="K452" s="3" t="s">
        <v>2176</v>
      </c>
      <c r="L452" s="3" t="s">
        <v>43</v>
      </c>
      <c r="M452" s="3" t="s">
        <v>2177</v>
      </c>
      <c r="N452" s="3" t="s">
        <v>2178</v>
      </c>
      <c r="O452" s="3" t="s">
        <v>2179</v>
      </c>
      <c r="P452" s="3" t="s">
        <v>25</v>
      </c>
      <c r="Q452" s="3" t="s">
        <v>5067</v>
      </c>
    </row>
    <row r="453" spans="1:17">
      <c r="A453" s="3">
        <v>1120617</v>
      </c>
      <c r="B453" s="3" t="s">
        <v>2180</v>
      </c>
      <c r="C453" s="3" t="str">
        <f>"9780470655320"</f>
        <v>9780470655320</v>
      </c>
      <c r="D453" s="3" t="str">
        <f>"9781118339824"</f>
        <v>9781118339824</v>
      </c>
      <c r="E453" s="3" t="s">
        <v>32</v>
      </c>
      <c r="F453" s="3" t="s">
        <v>33</v>
      </c>
      <c r="G453" s="4">
        <v>41241</v>
      </c>
      <c r="H453" s="3" t="s">
        <v>20</v>
      </c>
      <c r="I453" s="3">
        <v>1</v>
      </c>
      <c r="J453" s="3" t="s">
        <v>502</v>
      </c>
      <c r="K453" s="3" t="s">
        <v>2181</v>
      </c>
      <c r="L453" s="3" t="s">
        <v>1362</v>
      </c>
      <c r="M453" s="3" t="s">
        <v>2182</v>
      </c>
      <c r="N453" s="3">
        <v>420.7</v>
      </c>
      <c r="O453" s="3" t="s">
        <v>2183</v>
      </c>
      <c r="P453" s="3" t="s">
        <v>25</v>
      </c>
      <c r="Q453" s="3" t="s">
        <v>5068</v>
      </c>
    </row>
    <row r="454" spans="1:17">
      <c r="A454" s="3">
        <v>1120685</v>
      </c>
      <c r="B454" s="3" t="s">
        <v>2184</v>
      </c>
      <c r="C454" s="3" t="str">
        <f>"9781118344576"</f>
        <v>9781118344576</v>
      </c>
      <c r="D454" s="3" t="str">
        <f>"9781118589090"</f>
        <v>9781118589090</v>
      </c>
      <c r="E454" s="3" t="s">
        <v>32</v>
      </c>
      <c r="F454" s="3" t="s">
        <v>2185</v>
      </c>
      <c r="G454" s="4">
        <v>41269</v>
      </c>
      <c r="H454" s="3" t="s">
        <v>20</v>
      </c>
      <c r="I454" s="3">
        <v>1</v>
      </c>
      <c r="J454" s="3"/>
      <c r="K454" s="3" t="s">
        <v>2186</v>
      </c>
      <c r="L454" s="3" t="s">
        <v>2187</v>
      </c>
      <c r="M454" s="3" t="s">
        <v>2188</v>
      </c>
      <c r="N454" s="3">
        <v>670.03</v>
      </c>
      <c r="O454" s="3" t="s">
        <v>2189</v>
      </c>
      <c r="P454" s="3" t="s">
        <v>25</v>
      </c>
      <c r="Q454" s="3" t="s">
        <v>5069</v>
      </c>
    </row>
    <row r="455" spans="1:17">
      <c r="A455" s="3">
        <v>1126726</v>
      </c>
      <c r="B455" s="3" t="s">
        <v>2190</v>
      </c>
      <c r="C455" s="3" t="str">
        <f>"9780814795569"</f>
        <v>9780814795569</v>
      </c>
      <c r="D455" s="3" t="str">
        <f>"9780814724729"</f>
        <v>9780814724729</v>
      </c>
      <c r="E455" s="3" t="s">
        <v>1683</v>
      </c>
      <c r="F455" s="3" t="s">
        <v>1683</v>
      </c>
      <c r="G455" s="4">
        <v>41337</v>
      </c>
      <c r="H455" s="3" t="s">
        <v>20</v>
      </c>
      <c r="I455" s="3">
        <v>1</v>
      </c>
      <c r="J455" s="3"/>
      <c r="K455" s="3" t="s">
        <v>2191</v>
      </c>
      <c r="L455" s="3" t="s">
        <v>118</v>
      </c>
      <c r="M455" s="3" t="s">
        <v>2192</v>
      </c>
      <c r="N455" s="3" t="s">
        <v>2193</v>
      </c>
      <c r="O455" s="3"/>
      <c r="P455" s="3" t="s">
        <v>25</v>
      </c>
      <c r="Q455" s="3" t="s">
        <v>5070</v>
      </c>
    </row>
    <row r="456" spans="1:17">
      <c r="A456" s="3">
        <v>1129590</v>
      </c>
      <c r="B456" s="3" t="s">
        <v>2194</v>
      </c>
      <c r="C456" s="3" t="str">
        <f>"9781118326404"</f>
        <v>9781118326404</v>
      </c>
      <c r="D456" s="3" t="str">
        <f>"9781118326442"</f>
        <v>9781118326442</v>
      </c>
      <c r="E456" s="3" t="s">
        <v>32</v>
      </c>
      <c r="F456" s="3" t="s">
        <v>33</v>
      </c>
      <c r="G456" s="4">
        <v>41435</v>
      </c>
      <c r="H456" s="3" t="s">
        <v>20</v>
      </c>
      <c r="I456" s="3">
        <v>1</v>
      </c>
      <c r="J456" s="3" t="s">
        <v>2195</v>
      </c>
      <c r="K456" s="3" t="s">
        <v>2196</v>
      </c>
      <c r="L456" s="3" t="s">
        <v>660</v>
      </c>
      <c r="M456" s="3" t="s">
        <v>2197</v>
      </c>
      <c r="N456" s="3">
        <v>658.40920189999997</v>
      </c>
      <c r="O456" s="3" t="s">
        <v>2198</v>
      </c>
      <c r="P456" s="3" t="s">
        <v>25</v>
      </c>
      <c r="Q456" s="3" t="s">
        <v>5071</v>
      </c>
    </row>
    <row r="457" spans="1:17">
      <c r="A457" s="3">
        <v>1132319</v>
      </c>
      <c r="B457" s="3" t="s">
        <v>2199</v>
      </c>
      <c r="C457" s="3" t="str">
        <f>"9780199768769"</f>
        <v>9780199768769</v>
      </c>
      <c r="D457" s="3" t="str">
        <f>"9780199877607"</f>
        <v>9780199877607</v>
      </c>
      <c r="E457" s="3" t="s">
        <v>910</v>
      </c>
      <c r="F457" s="3" t="s">
        <v>910</v>
      </c>
      <c r="G457" s="4">
        <v>40697</v>
      </c>
      <c r="H457" s="3" t="s">
        <v>20</v>
      </c>
      <c r="I457" s="3"/>
      <c r="J457" s="3"/>
      <c r="K457" s="3" t="s">
        <v>2200</v>
      </c>
      <c r="L457" s="3" t="s">
        <v>204</v>
      </c>
      <c r="M457" s="3" t="s">
        <v>2201</v>
      </c>
      <c r="N457" s="3">
        <v>616.89</v>
      </c>
      <c r="O457" s="3" t="s">
        <v>2202</v>
      </c>
      <c r="P457" s="3" t="s">
        <v>25</v>
      </c>
      <c r="Q457" s="3" t="s">
        <v>5072</v>
      </c>
    </row>
    <row r="458" spans="1:17">
      <c r="A458" s="3">
        <v>1133316</v>
      </c>
      <c r="B458" s="3" t="s">
        <v>2203</v>
      </c>
      <c r="C458" s="3" t="str">
        <f>"9780786474455"</f>
        <v>9780786474455</v>
      </c>
      <c r="D458" s="3" t="str">
        <f>"9781476602493"</f>
        <v>9781476602493</v>
      </c>
      <c r="E458" s="3" t="s">
        <v>828</v>
      </c>
      <c r="F458" s="3" t="s">
        <v>828</v>
      </c>
      <c r="G458" s="4">
        <v>41317</v>
      </c>
      <c r="H458" s="3" t="s">
        <v>20</v>
      </c>
      <c r="I458" s="3">
        <v>1</v>
      </c>
      <c r="J458" s="3"/>
      <c r="K458" s="3" t="s">
        <v>1492</v>
      </c>
      <c r="L458" s="3" t="s">
        <v>2204</v>
      </c>
      <c r="M458" s="3" t="s">
        <v>2205</v>
      </c>
      <c r="N458" s="3">
        <v>384.5532</v>
      </c>
      <c r="O458" s="3" t="s">
        <v>2206</v>
      </c>
      <c r="P458" s="3" t="s">
        <v>25</v>
      </c>
      <c r="Q458" s="3" t="s">
        <v>5073</v>
      </c>
    </row>
    <row r="459" spans="1:17">
      <c r="A459" s="3">
        <v>1137502</v>
      </c>
      <c r="B459" s="3" t="s">
        <v>2207</v>
      </c>
      <c r="C459" s="3" t="str">
        <f>"9780786474929"</f>
        <v>9780786474929</v>
      </c>
      <c r="D459" s="3" t="str">
        <f>"9781476603407"</f>
        <v>9781476603407</v>
      </c>
      <c r="E459" s="3" t="s">
        <v>828</v>
      </c>
      <c r="F459" s="3" t="s">
        <v>828</v>
      </c>
      <c r="G459" s="4">
        <v>41275</v>
      </c>
      <c r="H459" s="3" t="s">
        <v>20</v>
      </c>
      <c r="I459" s="3">
        <v>1</v>
      </c>
      <c r="J459" s="3"/>
      <c r="K459" s="3" t="s">
        <v>2208</v>
      </c>
      <c r="L459" s="3" t="s">
        <v>1018</v>
      </c>
      <c r="M459" s="3" t="s">
        <v>2209</v>
      </c>
      <c r="N459" s="3">
        <v>81.03</v>
      </c>
      <c r="O459" s="3" t="s">
        <v>2210</v>
      </c>
      <c r="P459" s="3" t="s">
        <v>25</v>
      </c>
      <c r="Q459" s="3" t="s">
        <v>5074</v>
      </c>
    </row>
    <row r="460" spans="1:17">
      <c r="A460" s="3">
        <v>1137503</v>
      </c>
      <c r="B460" s="3" t="s">
        <v>2211</v>
      </c>
      <c r="C460" s="3" t="str">
        <f>"9780786465415"</f>
        <v>9780786465415</v>
      </c>
      <c r="D460" s="3" t="str">
        <f>"9781476600536"</f>
        <v>9781476600536</v>
      </c>
      <c r="E460" s="3" t="s">
        <v>828</v>
      </c>
      <c r="F460" s="3" t="s">
        <v>828</v>
      </c>
      <c r="G460" s="4">
        <v>41327</v>
      </c>
      <c r="H460" s="3" t="s">
        <v>20</v>
      </c>
      <c r="I460" s="3">
        <v>1</v>
      </c>
      <c r="J460" s="3"/>
      <c r="K460" s="3" t="s">
        <v>2212</v>
      </c>
      <c r="L460" s="3" t="s">
        <v>22</v>
      </c>
      <c r="M460" s="3" t="s">
        <v>2213</v>
      </c>
      <c r="N460" s="3">
        <v>810.93602999999996</v>
      </c>
      <c r="O460" s="3" t="s">
        <v>2214</v>
      </c>
      <c r="P460" s="3" t="s">
        <v>25</v>
      </c>
      <c r="Q460" s="3" t="s">
        <v>5075</v>
      </c>
    </row>
    <row r="461" spans="1:17">
      <c r="A461" s="3">
        <v>1137707</v>
      </c>
      <c r="B461" s="3" t="s">
        <v>2215</v>
      </c>
      <c r="C461" s="3" t="str">
        <f>"9780821389270"</f>
        <v>9780821389270</v>
      </c>
      <c r="D461" s="3" t="str">
        <f>"9780821389287"</f>
        <v>9780821389287</v>
      </c>
      <c r="E461" s="3" t="s">
        <v>2216</v>
      </c>
      <c r="F461" s="3" t="s">
        <v>2216</v>
      </c>
      <c r="G461" s="4">
        <v>40909</v>
      </c>
      <c r="H461" s="3" t="s">
        <v>20</v>
      </c>
      <c r="I461" s="3">
        <v>1</v>
      </c>
      <c r="J461" s="3"/>
      <c r="K461" s="3" t="s">
        <v>2217</v>
      </c>
      <c r="L461" s="3" t="s">
        <v>649</v>
      </c>
      <c r="M461" s="3" t="s">
        <v>2218</v>
      </c>
      <c r="N461" s="3">
        <v>332</v>
      </c>
      <c r="O461" s="3" t="s">
        <v>2219</v>
      </c>
      <c r="P461" s="3" t="s">
        <v>25</v>
      </c>
      <c r="Q461" s="3" t="s">
        <v>5076</v>
      </c>
    </row>
    <row r="462" spans="1:17">
      <c r="A462" s="3">
        <v>1140107</v>
      </c>
      <c r="B462" s="3" t="s">
        <v>2220</v>
      </c>
      <c r="C462" s="3" t="str">
        <f>"9780786472703"</f>
        <v>9780786472703</v>
      </c>
      <c r="D462" s="3" t="str">
        <f>"9781476601540"</f>
        <v>9781476601540</v>
      </c>
      <c r="E462" s="3" t="s">
        <v>828</v>
      </c>
      <c r="F462" s="3" t="s">
        <v>828</v>
      </c>
      <c r="G462" s="4">
        <v>41331</v>
      </c>
      <c r="H462" s="3" t="s">
        <v>20</v>
      </c>
      <c r="I462" s="3">
        <v>1</v>
      </c>
      <c r="J462" s="3"/>
      <c r="K462" s="3" t="s">
        <v>2221</v>
      </c>
      <c r="L462" s="3" t="s">
        <v>43</v>
      </c>
      <c r="M462" s="3" t="s">
        <v>2222</v>
      </c>
      <c r="N462" s="3">
        <v>791.53089999999997</v>
      </c>
      <c r="O462" s="3" t="s">
        <v>2223</v>
      </c>
      <c r="P462" s="3" t="s">
        <v>25</v>
      </c>
      <c r="Q462" s="3" t="s">
        <v>5077</v>
      </c>
    </row>
    <row r="463" spans="1:17">
      <c r="A463" s="3">
        <v>1152956</v>
      </c>
      <c r="B463" s="3" t="s">
        <v>2224</v>
      </c>
      <c r="C463" s="3" t="str">
        <f>"9780814772492"</f>
        <v>9780814772492</v>
      </c>
      <c r="D463" s="3" t="str">
        <f>"9780814790489"</f>
        <v>9780814790489</v>
      </c>
      <c r="E463" s="3" t="s">
        <v>1683</v>
      </c>
      <c r="F463" s="3" t="s">
        <v>1683</v>
      </c>
      <c r="G463" s="4">
        <v>41386</v>
      </c>
      <c r="H463" s="3" t="s">
        <v>20</v>
      </c>
      <c r="I463" s="3">
        <v>1</v>
      </c>
      <c r="J463" s="3"/>
      <c r="K463" s="3" t="s">
        <v>2225</v>
      </c>
      <c r="L463" s="3" t="s">
        <v>64</v>
      </c>
      <c r="M463" s="3"/>
      <c r="N463" s="3">
        <v>305.800973</v>
      </c>
      <c r="O463" s="3"/>
      <c r="P463" s="3" t="s">
        <v>25</v>
      </c>
      <c r="Q463" s="3" t="s">
        <v>5078</v>
      </c>
    </row>
    <row r="464" spans="1:17">
      <c r="A464" s="3">
        <v>1153294</v>
      </c>
      <c r="B464" s="3" t="s">
        <v>2226</v>
      </c>
      <c r="C464" s="3" t="str">
        <f>"9780199811410"</f>
        <v>9780199811410</v>
      </c>
      <c r="D464" s="3" t="str">
        <f>"9780199811458"</f>
        <v>9780199811458</v>
      </c>
      <c r="E464" s="3" t="s">
        <v>910</v>
      </c>
      <c r="F464" s="3" t="s">
        <v>910</v>
      </c>
      <c r="G464" s="4">
        <v>41361</v>
      </c>
      <c r="H464" s="3" t="s">
        <v>20</v>
      </c>
      <c r="I464" s="3"/>
      <c r="J464" s="3" t="s">
        <v>1423</v>
      </c>
      <c r="K464" s="3" t="s">
        <v>2227</v>
      </c>
      <c r="L464" s="3" t="s">
        <v>64</v>
      </c>
      <c r="M464" s="3" t="s">
        <v>2228</v>
      </c>
      <c r="N464" s="3" t="s">
        <v>2229</v>
      </c>
      <c r="O464" s="3" t="s">
        <v>2230</v>
      </c>
      <c r="P464" s="3" t="s">
        <v>25</v>
      </c>
      <c r="Q464" s="3" t="s">
        <v>5079</v>
      </c>
    </row>
    <row r="465" spans="1:17">
      <c r="A465" s="3">
        <v>1158508</v>
      </c>
      <c r="B465" s="3" t="s">
        <v>2231</v>
      </c>
      <c r="C465" s="3" t="str">
        <f>"9789004177185"</f>
        <v>9789004177185</v>
      </c>
      <c r="D465" s="3" t="str">
        <f>"9789047430629"</f>
        <v>9789047430629</v>
      </c>
      <c r="E465" s="3" t="s">
        <v>611</v>
      </c>
      <c r="F465" s="3" t="s">
        <v>611</v>
      </c>
      <c r="G465" s="4">
        <v>40295</v>
      </c>
      <c r="H465" s="3" t="s">
        <v>20</v>
      </c>
      <c r="I465" s="3">
        <v>2</v>
      </c>
      <c r="J465" s="3"/>
      <c r="K465" s="3" t="s">
        <v>2232</v>
      </c>
      <c r="L465" s="3" t="s">
        <v>394</v>
      </c>
      <c r="M465" s="3" t="s">
        <v>2233</v>
      </c>
      <c r="N465" s="3">
        <v>585</v>
      </c>
      <c r="O465" s="3" t="s">
        <v>2234</v>
      </c>
      <c r="P465" s="3" t="s">
        <v>25</v>
      </c>
      <c r="Q465" s="3" t="s">
        <v>5080</v>
      </c>
    </row>
    <row r="466" spans="1:17">
      <c r="A466" s="3">
        <v>1164978</v>
      </c>
      <c r="B466" s="3" t="s">
        <v>2235</v>
      </c>
      <c r="C466" s="3" t="str">
        <f>"9780786462698"</f>
        <v>9780786462698</v>
      </c>
      <c r="D466" s="3" t="str">
        <f>"9781476601557"</f>
        <v>9781476601557</v>
      </c>
      <c r="E466" s="3" t="s">
        <v>828</v>
      </c>
      <c r="F466" s="3" t="s">
        <v>828</v>
      </c>
      <c r="G466" s="4">
        <v>41362</v>
      </c>
      <c r="H466" s="3" t="s">
        <v>20</v>
      </c>
      <c r="I466" s="3">
        <v>1</v>
      </c>
      <c r="J466" s="3"/>
      <c r="K466" s="3" t="s">
        <v>2236</v>
      </c>
      <c r="L466" s="3" t="s">
        <v>2237</v>
      </c>
      <c r="M466" s="3" t="s">
        <v>2238</v>
      </c>
      <c r="N466" s="3">
        <v>623.74650972999996</v>
      </c>
      <c r="O466" s="3" t="s">
        <v>2239</v>
      </c>
      <c r="P466" s="3" t="s">
        <v>25</v>
      </c>
      <c r="Q466" s="3" t="s">
        <v>5081</v>
      </c>
    </row>
    <row r="467" spans="1:17">
      <c r="A467" s="3">
        <v>1168161</v>
      </c>
      <c r="B467" s="3" t="s">
        <v>2240</v>
      </c>
      <c r="C467" s="3" t="str">
        <f>"9789814343510"</f>
        <v>9789814343510</v>
      </c>
      <c r="D467" s="3" t="str">
        <f>"9789814343527"</f>
        <v>9789814343527</v>
      </c>
      <c r="E467" s="3" t="s">
        <v>1404</v>
      </c>
      <c r="F467" s="3" t="s">
        <v>1405</v>
      </c>
      <c r="G467" s="4">
        <v>41302</v>
      </c>
      <c r="H467" s="3" t="s">
        <v>20</v>
      </c>
      <c r="I467" s="3"/>
      <c r="J467" s="3" t="s">
        <v>2241</v>
      </c>
      <c r="K467" s="3" t="s">
        <v>2242</v>
      </c>
      <c r="L467" s="3" t="s">
        <v>2243</v>
      </c>
      <c r="M467" s="3" t="s">
        <v>2244</v>
      </c>
      <c r="N467" s="3">
        <v>621.04</v>
      </c>
      <c r="O467" s="3" t="s">
        <v>2245</v>
      </c>
      <c r="P467" s="3" t="s">
        <v>25</v>
      </c>
      <c r="Q467" s="3" t="s">
        <v>5082</v>
      </c>
    </row>
    <row r="468" spans="1:17">
      <c r="A468" s="3">
        <v>1170363</v>
      </c>
      <c r="B468" s="3" t="s">
        <v>2246</v>
      </c>
      <c r="C468" s="3" t="str">
        <f>"9781118274903"</f>
        <v>9781118274903</v>
      </c>
      <c r="D468" s="3" t="str">
        <f>"9781118329344"</f>
        <v>9781118329344</v>
      </c>
      <c r="E468" s="3" t="s">
        <v>32</v>
      </c>
      <c r="F468" s="3" t="s">
        <v>33</v>
      </c>
      <c r="G468" s="4">
        <v>40987</v>
      </c>
      <c r="H468" s="3" t="s">
        <v>20</v>
      </c>
      <c r="I468" s="3">
        <v>1</v>
      </c>
      <c r="J468" s="3"/>
      <c r="K468" s="3" t="s">
        <v>2247</v>
      </c>
      <c r="L468" s="3" t="s">
        <v>64</v>
      </c>
      <c r="M468" s="3" t="s">
        <v>2248</v>
      </c>
      <c r="N468" s="3">
        <v>301.02999999999997</v>
      </c>
      <c r="O468" s="3" t="s">
        <v>2249</v>
      </c>
      <c r="P468" s="3" t="s">
        <v>25</v>
      </c>
      <c r="Q468" s="3" t="s">
        <v>5083</v>
      </c>
    </row>
    <row r="469" spans="1:17">
      <c r="A469" s="3">
        <v>1182802</v>
      </c>
      <c r="B469" s="3" t="s">
        <v>2250</v>
      </c>
      <c r="C469" s="3" t="str">
        <f>"9781583673416"</f>
        <v>9781583673416</v>
      </c>
      <c r="D469" s="3" t="str">
        <f>"9781583673430"</f>
        <v>9781583673430</v>
      </c>
      <c r="E469" s="3" t="s">
        <v>2251</v>
      </c>
      <c r="F469" s="3" t="s">
        <v>2251</v>
      </c>
      <c r="G469" s="4">
        <v>41334</v>
      </c>
      <c r="H469" s="3" t="s">
        <v>20</v>
      </c>
      <c r="I469" s="3">
        <v>1</v>
      </c>
      <c r="J469" s="3"/>
      <c r="K469" s="3" t="s">
        <v>2252</v>
      </c>
      <c r="L469" s="3" t="s">
        <v>2253</v>
      </c>
      <c r="M469" s="3" t="s">
        <v>2254</v>
      </c>
      <c r="N469" s="3">
        <v>327.11700000000002</v>
      </c>
      <c r="O469" s="3" t="s">
        <v>2255</v>
      </c>
      <c r="P469" s="3" t="s">
        <v>25</v>
      </c>
      <c r="Q469" s="3" t="s">
        <v>5084</v>
      </c>
    </row>
    <row r="470" spans="1:17">
      <c r="A470" s="3">
        <v>1185534</v>
      </c>
      <c r="B470" s="3" t="s">
        <v>2256</v>
      </c>
      <c r="C470" s="3" t="str">
        <f>"9781849733816"</f>
        <v>9781849733816</v>
      </c>
      <c r="D470" s="3" t="str">
        <f>"9781849734813"</f>
        <v>9781849734813</v>
      </c>
      <c r="E470" s="3" t="s">
        <v>2257</v>
      </c>
      <c r="F470" s="3" t="s">
        <v>2257</v>
      </c>
      <c r="G470" s="4">
        <v>42297</v>
      </c>
      <c r="H470" s="3" t="s">
        <v>20</v>
      </c>
      <c r="I470" s="3">
        <v>1</v>
      </c>
      <c r="J470" s="3"/>
      <c r="K470" s="3" t="s">
        <v>2258</v>
      </c>
      <c r="L470" s="3" t="s">
        <v>2259</v>
      </c>
      <c r="M470" s="3" t="s">
        <v>2260</v>
      </c>
      <c r="N470" s="3">
        <v>664.07</v>
      </c>
      <c r="O470" s="3" t="s">
        <v>2261</v>
      </c>
      <c r="P470" s="3" t="s">
        <v>25</v>
      </c>
      <c r="Q470" s="3" t="s">
        <v>5085</v>
      </c>
    </row>
    <row r="471" spans="1:17">
      <c r="A471" s="3">
        <v>1187226</v>
      </c>
      <c r="B471" s="3" t="s">
        <v>2262</v>
      </c>
      <c r="C471" s="3" t="str">
        <f>"9789004226159"</f>
        <v>9789004226159</v>
      </c>
      <c r="D471" s="3" t="str">
        <f>"9789004226166"</f>
        <v>9789004226166</v>
      </c>
      <c r="E471" s="3" t="s">
        <v>611</v>
      </c>
      <c r="F471" s="3" t="s">
        <v>611</v>
      </c>
      <c r="G471" s="4">
        <v>41381</v>
      </c>
      <c r="H471" s="3" t="s">
        <v>20</v>
      </c>
      <c r="I471" s="3">
        <v>1</v>
      </c>
      <c r="J471" s="3"/>
      <c r="K471" s="3" t="s">
        <v>2263</v>
      </c>
      <c r="L471" s="3" t="s">
        <v>354</v>
      </c>
      <c r="M471" s="3"/>
      <c r="N471" s="3">
        <v>342.08300000000003</v>
      </c>
      <c r="O471" s="3"/>
      <c r="P471" s="3" t="s">
        <v>25</v>
      </c>
      <c r="Q471" s="3" t="s">
        <v>5086</v>
      </c>
    </row>
    <row r="472" spans="1:17">
      <c r="A472" s="3">
        <v>1190926</v>
      </c>
      <c r="B472" s="3" t="s">
        <v>2264</v>
      </c>
      <c r="C472" s="3" t="str">
        <f>"9780814771891"</f>
        <v>9780814771891</v>
      </c>
      <c r="D472" s="3" t="str">
        <f>"9780814771907"</f>
        <v>9780814771907</v>
      </c>
      <c r="E472" s="3" t="s">
        <v>1683</v>
      </c>
      <c r="F472" s="3" t="s">
        <v>1683</v>
      </c>
      <c r="G472" s="4">
        <v>41479</v>
      </c>
      <c r="H472" s="3" t="s">
        <v>20</v>
      </c>
      <c r="I472" s="3">
        <v>1</v>
      </c>
      <c r="J472" s="3" t="s">
        <v>2265</v>
      </c>
      <c r="K472" s="3" t="s">
        <v>2266</v>
      </c>
      <c r="L472" s="3" t="s">
        <v>2267</v>
      </c>
      <c r="M472" s="3" t="s">
        <v>2268</v>
      </c>
      <c r="N472" s="3">
        <v>302.23095479199998</v>
      </c>
      <c r="O472" s="3" t="s">
        <v>2269</v>
      </c>
      <c r="P472" s="3" t="s">
        <v>25</v>
      </c>
      <c r="Q472" s="3" t="s">
        <v>5087</v>
      </c>
    </row>
    <row r="473" spans="1:17">
      <c r="A473" s="3">
        <v>1192583</v>
      </c>
      <c r="B473" s="3" t="s">
        <v>2270</v>
      </c>
      <c r="C473" s="3" t="str">
        <f>"9780199974962"</f>
        <v>9780199974962</v>
      </c>
      <c r="D473" s="3" t="str">
        <f>"9780199974986"</f>
        <v>9780199974986</v>
      </c>
      <c r="E473" s="3" t="s">
        <v>910</v>
      </c>
      <c r="F473" s="3" t="s">
        <v>910</v>
      </c>
      <c r="G473" s="4">
        <v>41453</v>
      </c>
      <c r="H473" s="3" t="s">
        <v>20</v>
      </c>
      <c r="I473" s="3">
        <v>2</v>
      </c>
      <c r="J473" s="3" t="s">
        <v>1423</v>
      </c>
      <c r="K473" s="3" t="s">
        <v>2271</v>
      </c>
      <c r="L473" s="3" t="s">
        <v>58</v>
      </c>
      <c r="M473" s="3" t="s">
        <v>2272</v>
      </c>
      <c r="N473" s="3">
        <v>951.06</v>
      </c>
      <c r="O473" s="3" t="s">
        <v>2273</v>
      </c>
      <c r="P473" s="3" t="s">
        <v>25</v>
      </c>
      <c r="Q473" s="3" t="s">
        <v>5088</v>
      </c>
    </row>
    <row r="474" spans="1:17">
      <c r="A474" s="3">
        <v>1204745</v>
      </c>
      <c r="B474" s="3" t="s">
        <v>2274</v>
      </c>
      <c r="C474" s="3" t="str">
        <f>"9781405105347"</f>
        <v>9781405105347</v>
      </c>
      <c r="D474" s="3" t="str">
        <f>"9781118690901"</f>
        <v>9781118690901</v>
      </c>
      <c r="E474" s="3" t="s">
        <v>32</v>
      </c>
      <c r="F474" s="3" t="s">
        <v>33</v>
      </c>
      <c r="G474" s="4">
        <v>41416</v>
      </c>
      <c r="H474" s="3" t="s">
        <v>20</v>
      </c>
      <c r="I474" s="3">
        <v>2</v>
      </c>
      <c r="J474" s="3"/>
      <c r="K474" s="3" t="s">
        <v>2275</v>
      </c>
      <c r="L474" s="3" t="s">
        <v>2276</v>
      </c>
      <c r="M474" s="3" t="s">
        <v>2277</v>
      </c>
      <c r="N474" s="3">
        <v>610.73030000000006</v>
      </c>
      <c r="O474" s="3" t="s">
        <v>2278</v>
      </c>
      <c r="P474" s="3" t="s">
        <v>25</v>
      </c>
      <c r="Q474" s="3" t="s">
        <v>5089</v>
      </c>
    </row>
    <row r="475" spans="1:17">
      <c r="A475" s="3">
        <v>1209947</v>
      </c>
      <c r="B475" s="3" t="s">
        <v>2279</v>
      </c>
      <c r="C475" s="3" t="str">
        <f>"9789810227043"</f>
        <v>9789810227043</v>
      </c>
      <c r="D475" s="3" t="str">
        <f>"9789812830104"</f>
        <v>9789812830104</v>
      </c>
      <c r="E475" s="3" t="s">
        <v>1404</v>
      </c>
      <c r="F475" s="3" t="s">
        <v>1405</v>
      </c>
      <c r="G475" s="4">
        <v>35674</v>
      </c>
      <c r="H475" s="3" t="s">
        <v>20</v>
      </c>
      <c r="I475" s="3"/>
      <c r="J475" s="3"/>
      <c r="K475" s="3" t="s">
        <v>2280</v>
      </c>
      <c r="L475" s="3" t="s">
        <v>97</v>
      </c>
      <c r="M475" s="3" t="s">
        <v>2281</v>
      </c>
      <c r="N475" s="3">
        <v>515</v>
      </c>
      <c r="O475" s="3" t="s">
        <v>2282</v>
      </c>
      <c r="P475" s="3" t="s">
        <v>25</v>
      </c>
      <c r="Q475" s="3" t="s">
        <v>5090</v>
      </c>
    </row>
    <row r="476" spans="1:17">
      <c r="A476" s="3">
        <v>1214387</v>
      </c>
      <c r="B476" s="3" t="s">
        <v>2283</v>
      </c>
      <c r="C476" s="3" t="str">
        <f>"9780814771167"</f>
        <v>9780814771167</v>
      </c>
      <c r="D476" s="3" t="str">
        <f>"9780814708316"</f>
        <v>9780814708316</v>
      </c>
      <c r="E476" s="3" t="s">
        <v>1683</v>
      </c>
      <c r="F476" s="3" t="s">
        <v>1683</v>
      </c>
      <c r="G476" s="4">
        <v>41477</v>
      </c>
      <c r="H476" s="3" t="s">
        <v>20</v>
      </c>
      <c r="I476" s="3">
        <v>1</v>
      </c>
      <c r="J476" s="3"/>
      <c r="K476" s="3" t="s">
        <v>2284</v>
      </c>
      <c r="L476" s="3" t="s">
        <v>354</v>
      </c>
      <c r="M476" s="3"/>
      <c r="N476" s="3" t="s">
        <v>2285</v>
      </c>
      <c r="O476" s="3"/>
      <c r="P476" s="3" t="s">
        <v>25</v>
      </c>
      <c r="Q476" s="3" t="s">
        <v>5091</v>
      </c>
    </row>
    <row r="477" spans="1:17">
      <c r="A477" s="3">
        <v>1220636</v>
      </c>
      <c r="B477" s="3" t="s">
        <v>2286</v>
      </c>
      <c r="C477" s="3" t="str">
        <f>"9781615309634"</f>
        <v>9781615309634</v>
      </c>
      <c r="D477" s="3" t="str">
        <f>"9781615309757"</f>
        <v>9781615309757</v>
      </c>
      <c r="E477" s="3" t="s">
        <v>983</v>
      </c>
      <c r="F477" s="3" t="s">
        <v>984</v>
      </c>
      <c r="G477" s="4">
        <v>41470</v>
      </c>
      <c r="H477" s="3" t="s">
        <v>20</v>
      </c>
      <c r="I477" s="3">
        <v>1</v>
      </c>
      <c r="J477" s="3" t="s">
        <v>2287</v>
      </c>
      <c r="K477" s="3" t="s">
        <v>2288</v>
      </c>
      <c r="L477" s="3" t="s">
        <v>58</v>
      </c>
      <c r="M477" s="3" t="s">
        <v>2289</v>
      </c>
      <c r="N477" s="3">
        <v>942</v>
      </c>
      <c r="O477" s="3" t="s">
        <v>2290</v>
      </c>
      <c r="P477" s="3" t="s">
        <v>25</v>
      </c>
      <c r="Q477" s="3" t="s">
        <v>5092</v>
      </c>
    </row>
    <row r="478" spans="1:17">
      <c r="A478" s="3">
        <v>1220637</v>
      </c>
      <c r="B478" s="3" t="s">
        <v>2291</v>
      </c>
      <c r="C478" s="3" t="str">
        <f>"9781615309641"</f>
        <v>9781615309641</v>
      </c>
      <c r="D478" s="3" t="str">
        <f>"9781615309818"</f>
        <v>9781615309818</v>
      </c>
      <c r="E478" s="3" t="s">
        <v>983</v>
      </c>
      <c r="F478" s="3" t="s">
        <v>984</v>
      </c>
      <c r="G478" s="4">
        <v>41470</v>
      </c>
      <c r="H478" s="3" t="s">
        <v>20</v>
      </c>
      <c r="I478" s="3">
        <v>1</v>
      </c>
      <c r="J478" s="3" t="s">
        <v>2287</v>
      </c>
      <c r="K478" s="3" t="s">
        <v>2292</v>
      </c>
      <c r="L478" s="3" t="s">
        <v>58</v>
      </c>
      <c r="M478" s="3" t="s">
        <v>2293</v>
      </c>
      <c r="N478" s="3">
        <v>944</v>
      </c>
      <c r="O478" s="3" t="s">
        <v>2294</v>
      </c>
      <c r="P478" s="3" t="s">
        <v>25</v>
      </c>
      <c r="Q478" s="3" t="s">
        <v>5093</v>
      </c>
    </row>
    <row r="479" spans="1:17">
      <c r="A479" s="3">
        <v>1220638</v>
      </c>
      <c r="B479" s="3" t="s">
        <v>2295</v>
      </c>
      <c r="C479" s="3" t="str">
        <f>"9781615309658"</f>
        <v>9781615309658</v>
      </c>
      <c r="D479" s="3" t="str">
        <f>"9781615309832"</f>
        <v>9781615309832</v>
      </c>
      <c r="E479" s="3" t="s">
        <v>983</v>
      </c>
      <c r="F479" s="3" t="s">
        <v>984</v>
      </c>
      <c r="G479" s="4">
        <v>41470</v>
      </c>
      <c r="H479" s="3" t="s">
        <v>20</v>
      </c>
      <c r="I479" s="3">
        <v>1</v>
      </c>
      <c r="J479" s="3" t="s">
        <v>2287</v>
      </c>
      <c r="K479" s="3" t="s">
        <v>2292</v>
      </c>
      <c r="L479" s="3" t="s">
        <v>58</v>
      </c>
      <c r="M479" s="3" t="s">
        <v>2296</v>
      </c>
      <c r="N479" s="3">
        <v>943</v>
      </c>
      <c r="O479" s="3" t="s">
        <v>2297</v>
      </c>
      <c r="P479" s="3" t="s">
        <v>25</v>
      </c>
      <c r="Q479" s="3" t="s">
        <v>5094</v>
      </c>
    </row>
    <row r="480" spans="1:17">
      <c r="A480" s="3">
        <v>1220639</v>
      </c>
      <c r="B480" s="3" t="s">
        <v>2298</v>
      </c>
      <c r="C480" s="3" t="str">
        <f>"9781615309665"</f>
        <v>9781615309665</v>
      </c>
      <c r="D480" s="3" t="str">
        <f>"9781615309894"</f>
        <v>9781615309894</v>
      </c>
      <c r="E480" s="3" t="s">
        <v>983</v>
      </c>
      <c r="F480" s="3" t="s">
        <v>984</v>
      </c>
      <c r="G480" s="4">
        <v>41470</v>
      </c>
      <c r="H480" s="3" t="s">
        <v>20</v>
      </c>
      <c r="I480" s="3">
        <v>1</v>
      </c>
      <c r="J480" s="3" t="s">
        <v>2287</v>
      </c>
      <c r="K480" s="3" t="s">
        <v>2299</v>
      </c>
      <c r="L480" s="3" t="s">
        <v>58</v>
      </c>
      <c r="M480" s="3" t="s">
        <v>2300</v>
      </c>
      <c r="N480" s="3">
        <v>945</v>
      </c>
      <c r="O480" s="3" t="s">
        <v>2301</v>
      </c>
      <c r="P480" s="3" t="s">
        <v>25</v>
      </c>
      <c r="Q480" s="3" t="s">
        <v>5095</v>
      </c>
    </row>
    <row r="481" spans="1:17">
      <c r="A481" s="3">
        <v>1220640</v>
      </c>
      <c r="B481" s="3" t="s">
        <v>2302</v>
      </c>
      <c r="C481" s="3" t="str">
        <f>"9781615309672"</f>
        <v>9781615309672</v>
      </c>
      <c r="D481" s="3" t="str">
        <f>"9781615309931"</f>
        <v>9781615309931</v>
      </c>
      <c r="E481" s="3" t="s">
        <v>983</v>
      </c>
      <c r="F481" s="3" t="s">
        <v>984</v>
      </c>
      <c r="G481" s="4">
        <v>41470</v>
      </c>
      <c r="H481" s="3" t="s">
        <v>20</v>
      </c>
      <c r="I481" s="3">
        <v>1</v>
      </c>
      <c r="J481" s="3" t="s">
        <v>2287</v>
      </c>
      <c r="K481" s="3" t="s">
        <v>2292</v>
      </c>
      <c r="L481" s="3" t="s">
        <v>58</v>
      </c>
      <c r="M481" s="3" t="s">
        <v>2303</v>
      </c>
      <c r="N481" s="3">
        <v>946</v>
      </c>
      <c r="O481" s="3" t="s">
        <v>2304</v>
      </c>
      <c r="P481" s="3" t="s">
        <v>25</v>
      </c>
      <c r="Q481" s="3" t="s">
        <v>5096</v>
      </c>
    </row>
    <row r="482" spans="1:17">
      <c r="A482" s="3">
        <v>1220641</v>
      </c>
      <c r="B482" s="3" t="s">
        <v>2305</v>
      </c>
      <c r="C482" s="3" t="str">
        <f>"9781615309689"</f>
        <v>9781615309689</v>
      </c>
      <c r="D482" s="3" t="str">
        <f>"9781615309870"</f>
        <v>9781615309870</v>
      </c>
      <c r="E482" s="3" t="s">
        <v>983</v>
      </c>
      <c r="F482" s="3" t="s">
        <v>984</v>
      </c>
      <c r="G482" s="4">
        <v>41470</v>
      </c>
      <c r="H482" s="3" t="s">
        <v>20</v>
      </c>
      <c r="I482" s="3">
        <v>1</v>
      </c>
      <c r="J482" s="3" t="s">
        <v>2287</v>
      </c>
      <c r="K482" s="3" t="s">
        <v>2299</v>
      </c>
      <c r="L482" s="3" t="s">
        <v>58</v>
      </c>
      <c r="M482" s="3" t="s">
        <v>2306</v>
      </c>
      <c r="N482" s="3">
        <v>943.70029999999997</v>
      </c>
      <c r="O482" s="3" t="s">
        <v>2307</v>
      </c>
      <c r="P482" s="3" t="s">
        <v>25</v>
      </c>
      <c r="Q482" s="3" t="s">
        <v>5097</v>
      </c>
    </row>
    <row r="483" spans="1:17">
      <c r="A483" s="3">
        <v>1220642</v>
      </c>
      <c r="B483" s="3" t="s">
        <v>2308</v>
      </c>
      <c r="C483" s="3" t="str">
        <f>"9781615309696"</f>
        <v>9781615309696</v>
      </c>
      <c r="D483" s="3" t="str">
        <f>"9781615309955"</f>
        <v>9781615309955</v>
      </c>
      <c r="E483" s="3" t="s">
        <v>983</v>
      </c>
      <c r="F483" s="3" t="s">
        <v>984</v>
      </c>
      <c r="G483" s="4">
        <v>41470</v>
      </c>
      <c r="H483" s="3" t="s">
        <v>20</v>
      </c>
      <c r="I483" s="3">
        <v>1</v>
      </c>
      <c r="J483" s="3" t="s">
        <v>2287</v>
      </c>
      <c r="K483" s="3" t="s">
        <v>2309</v>
      </c>
      <c r="L483" s="3" t="s">
        <v>58</v>
      </c>
      <c r="M483" s="3" t="s">
        <v>2310</v>
      </c>
      <c r="N483" s="3">
        <v>948</v>
      </c>
      <c r="O483" s="3" t="s">
        <v>2311</v>
      </c>
      <c r="P483" s="3" t="s">
        <v>25</v>
      </c>
      <c r="Q483" s="3" t="s">
        <v>5098</v>
      </c>
    </row>
    <row r="484" spans="1:17">
      <c r="A484" s="3">
        <v>1220643</v>
      </c>
      <c r="B484" s="3" t="s">
        <v>2312</v>
      </c>
      <c r="C484" s="3" t="str">
        <f>"9781615309702"</f>
        <v>9781615309702</v>
      </c>
      <c r="D484" s="3" t="str">
        <f>"9781615309771"</f>
        <v>9781615309771</v>
      </c>
      <c r="E484" s="3" t="s">
        <v>983</v>
      </c>
      <c r="F484" s="3" t="s">
        <v>984</v>
      </c>
      <c r="G484" s="4">
        <v>41470</v>
      </c>
      <c r="H484" s="3" t="s">
        <v>20</v>
      </c>
      <c r="I484" s="3">
        <v>1</v>
      </c>
      <c r="J484" s="3" t="s">
        <v>2287</v>
      </c>
      <c r="K484" s="3" t="s">
        <v>2299</v>
      </c>
      <c r="L484" s="3" t="s">
        <v>58</v>
      </c>
      <c r="M484" s="3" t="s">
        <v>2313</v>
      </c>
      <c r="N484" s="3">
        <v>943.6</v>
      </c>
      <c r="O484" s="3" t="s">
        <v>2314</v>
      </c>
      <c r="P484" s="3" t="s">
        <v>25</v>
      </c>
      <c r="Q484" s="3" t="s">
        <v>5099</v>
      </c>
    </row>
    <row r="485" spans="1:17">
      <c r="A485" s="3">
        <v>1220644</v>
      </c>
      <c r="B485" s="3" t="s">
        <v>2315</v>
      </c>
      <c r="C485" s="3" t="str">
        <f>"9781615309719"</f>
        <v>9781615309719</v>
      </c>
      <c r="D485" s="3" t="str">
        <f>"9781615309917"</f>
        <v>9781615309917</v>
      </c>
      <c r="E485" s="3" t="s">
        <v>983</v>
      </c>
      <c r="F485" s="3" t="s">
        <v>984</v>
      </c>
      <c r="G485" s="4">
        <v>41470</v>
      </c>
      <c r="H485" s="3" t="s">
        <v>20</v>
      </c>
      <c r="I485" s="3">
        <v>1</v>
      </c>
      <c r="J485" s="3" t="s">
        <v>2287</v>
      </c>
      <c r="K485" s="3" t="s">
        <v>2316</v>
      </c>
      <c r="L485" s="3" t="s">
        <v>58</v>
      </c>
      <c r="M485" s="3" t="s">
        <v>2317</v>
      </c>
      <c r="N485" s="3">
        <v>947.9</v>
      </c>
      <c r="O485" s="3" t="s">
        <v>2318</v>
      </c>
      <c r="P485" s="3" t="s">
        <v>25</v>
      </c>
      <c r="Q485" s="3" t="s">
        <v>5100</v>
      </c>
    </row>
    <row r="486" spans="1:17">
      <c r="A486" s="3">
        <v>1220645</v>
      </c>
      <c r="B486" s="3" t="s">
        <v>2319</v>
      </c>
      <c r="C486" s="3" t="str">
        <f>"9781615309726"</f>
        <v>9781615309726</v>
      </c>
      <c r="D486" s="3" t="str">
        <f>"9781615309856"</f>
        <v>9781615309856</v>
      </c>
      <c r="E486" s="3" t="s">
        <v>983</v>
      </c>
      <c r="F486" s="3" t="s">
        <v>984</v>
      </c>
      <c r="G486" s="4">
        <v>41470</v>
      </c>
      <c r="H486" s="3" t="s">
        <v>20</v>
      </c>
      <c r="I486" s="3">
        <v>1</v>
      </c>
      <c r="J486" s="3" t="s">
        <v>2287</v>
      </c>
      <c r="K486" s="3" t="s">
        <v>2320</v>
      </c>
      <c r="L486" s="3" t="s">
        <v>58</v>
      </c>
      <c r="M486" s="3" t="s">
        <v>2321</v>
      </c>
      <c r="N486" s="3">
        <v>940.03</v>
      </c>
      <c r="O486" s="3" t="s">
        <v>2322</v>
      </c>
      <c r="P486" s="3" t="s">
        <v>25</v>
      </c>
      <c r="Q486" s="3" t="s">
        <v>5101</v>
      </c>
    </row>
    <row r="487" spans="1:17">
      <c r="A487" s="3">
        <v>1220646</v>
      </c>
      <c r="B487" s="3" t="s">
        <v>2323</v>
      </c>
      <c r="C487" s="3" t="str">
        <f>"9781615309733"</f>
        <v>9781615309733</v>
      </c>
      <c r="D487" s="3" t="str">
        <f>"9781615309795"</f>
        <v>9781615309795</v>
      </c>
      <c r="E487" s="3" t="s">
        <v>983</v>
      </c>
      <c r="F487" s="3" t="s">
        <v>984</v>
      </c>
      <c r="G487" s="4">
        <v>41470</v>
      </c>
      <c r="H487" s="3" t="s">
        <v>20</v>
      </c>
      <c r="I487" s="3">
        <v>1</v>
      </c>
      <c r="J487" s="3" t="s">
        <v>2287</v>
      </c>
      <c r="K487" s="3" t="s">
        <v>2320</v>
      </c>
      <c r="L487" s="3" t="s">
        <v>58</v>
      </c>
      <c r="M487" s="3" t="s">
        <v>2324</v>
      </c>
      <c r="N487" s="3">
        <v>949.2</v>
      </c>
      <c r="O487" s="3" t="s">
        <v>2325</v>
      </c>
      <c r="P487" s="3" t="s">
        <v>25</v>
      </c>
      <c r="Q487" s="3" t="s">
        <v>5102</v>
      </c>
    </row>
    <row r="488" spans="1:17">
      <c r="A488" s="3">
        <v>1220647</v>
      </c>
      <c r="B488" s="3" t="s">
        <v>2326</v>
      </c>
      <c r="C488" s="3" t="str">
        <f>"9781615309979"</f>
        <v>9781615309979</v>
      </c>
      <c r="D488" s="3" t="str">
        <f>"9781622750047"</f>
        <v>9781622750047</v>
      </c>
      <c r="E488" s="3" t="s">
        <v>983</v>
      </c>
      <c r="F488" s="3" t="s">
        <v>984</v>
      </c>
      <c r="G488" s="4">
        <v>41470</v>
      </c>
      <c r="H488" s="3" t="s">
        <v>20</v>
      </c>
      <c r="I488" s="3">
        <v>1</v>
      </c>
      <c r="J488" s="3" t="s">
        <v>2327</v>
      </c>
      <c r="K488" s="3" t="s">
        <v>2328</v>
      </c>
      <c r="L488" s="3" t="s">
        <v>22</v>
      </c>
      <c r="M488" s="3" t="s">
        <v>2329</v>
      </c>
      <c r="N488" s="3">
        <v>880.09</v>
      </c>
      <c r="O488" s="3" t="s">
        <v>2330</v>
      </c>
      <c r="P488" s="3" t="s">
        <v>25</v>
      </c>
      <c r="Q488" s="3" t="s">
        <v>5103</v>
      </c>
    </row>
    <row r="489" spans="1:17">
      <c r="A489" s="3">
        <v>1220648</v>
      </c>
      <c r="B489" s="3" t="s">
        <v>2331</v>
      </c>
      <c r="C489" s="3" t="str">
        <f>"9781615309986"</f>
        <v>9781615309986</v>
      </c>
      <c r="D489" s="3" t="str">
        <f>"9781622750122"</f>
        <v>9781622750122</v>
      </c>
      <c r="E489" s="3" t="s">
        <v>983</v>
      </c>
      <c r="F489" s="3" t="s">
        <v>984</v>
      </c>
      <c r="G489" s="4">
        <v>41470</v>
      </c>
      <c r="H489" s="3" t="s">
        <v>20</v>
      </c>
      <c r="I489" s="3">
        <v>1</v>
      </c>
      <c r="J489" s="3" t="s">
        <v>2327</v>
      </c>
      <c r="K489" s="3" t="s">
        <v>1383</v>
      </c>
      <c r="L489" s="3" t="s">
        <v>22</v>
      </c>
      <c r="M489" s="3" t="s">
        <v>2332</v>
      </c>
      <c r="N489" s="3" t="s">
        <v>2333</v>
      </c>
      <c r="O489" s="3" t="s">
        <v>2334</v>
      </c>
      <c r="P489" s="3" t="s">
        <v>25</v>
      </c>
      <c r="Q489" s="3" t="s">
        <v>5104</v>
      </c>
    </row>
    <row r="490" spans="1:17">
      <c r="A490" s="3">
        <v>1220649</v>
      </c>
      <c r="B490" s="3" t="s">
        <v>2335</v>
      </c>
      <c r="C490" s="3" t="str">
        <f>"9781615309993"</f>
        <v>9781615309993</v>
      </c>
      <c r="D490" s="3" t="str">
        <f>"9781622750108"</f>
        <v>9781622750108</v>
      </c>
      <c r="E490" s="3" t="s">
        <v>983</v>
      </c>
      <c r="F490" s="3" t="s">
        <v>984</v>
      </c>
      <c r="G490" s="4">
        <v>41470</v>
      </c>
      <c r="H490" s="3" t="s">
        <v>20</v>
      </c>
      <c r="I490" s="3">
        <v>1</v>
      </c>
      <c r="J490" s="3" t="s">
        <v>2327</v>
      </c>
      <c r="K490" s="3" t="s">
        <v>2336</v>
      </c>
      <c r="L490" s="3" t="s">
        <v>22</v>
      </c>
      <c r="M490" s="3" t="s">
        <v>2337</v>
      </c>
      <c r="N490" s="3" t="s">
        <v>2338</v>
      </c>
      <c r="O490" s="3" t="s">
        <v>2339</v>
      </c>
      <c r="P490" s="3" t="s">
        <v>25</v>
      </c>
      <c r="Q490" s="3" t="s">
        <v>5105</v>
      </c>
    </row>
    <row r="491" spans="1:17">
      <c r="A491" s="3">
        <v>1220650</v>
      </c>
      <c r="B491" s="3" t="s">
        <v>2340</v>
      </c>
      <c r="C491" s="3" t="str">
        <f>"9781622750016"</f>
        <v>9781622750016</v>
      </c>
      <c r="D491" s="3" t="str">
        <f>"9781622750061"</f>
        <v>9781622750061</v>
      </c>
      <c r="E491" s="3" t="s">
        <v>983</v>
      </c>
      <c r="F491" s="3" t="s">
        <v>984</v>
      </c>
      <c r="G491" s="4">
        <v>41470</v>
      </c>
      <c r="H491" s="3" t="s">
        <v>20</v>
      </c>
      <c r="I491" s="3">
        <v>1</v>
      </c>
      <c r="J491" s="3" t="s">
        <v>2327</v>
      </c>
      <c r="K491" s="3" t="s">
        <v>1383</v>
      </c>
      <c r="L491" s="3" t="s">
        <v>22</v>
      </c>
      <c r="M491" s="3" t="s">
        <v>2341</v>
      </c>
      <c r="N491" s="3" t="s">
        <v>2342</v>
      </c>
      <c r="O491" s="3" t="s">
        <v>2343</v>
      </c>
      <c r="P491" s="3" t="s">
        <v>25</v>
      </c>
      <c r="Q491" s="3" t="s">
        <v>5106</v>
      </c>
    </row>
    <row r="492" spans="1:17">
      <c r="A492" s="3">
        <v>1220651</v>
      </c>
      <c r="B492" s="3" t="s">
        <v>2344</v>
      </c>
      <c r="C492" s="3" t="str">
        <f>"9781622750023"</f>
        <v>9781622750023</v>
      </c>
      <c r="D492" s="3" t="str">
        <f>"9781622750085"</f>
        <v>9781622750085</v>
      </c>
      <c r="E492" s="3" t="s">
        <v>983</v>
      </c>
      <c r="F492" s="3" t="s">
        <v>984</v>
      </c>
      <c r="G492" s="4">
        <v>41470</v>
      </c>
      <c r="H492" s="3" t="s">
        <v>20</v>
      </c>
      <c r="I492" s="3">
        <v>1</v>
      </c>
      <c r="J492" s="3" t="s">
        <v>2327</v>
      </c>
      <c r="K492" s="3" t="s">
        <v>2328</v>
      </c>
      <c r="L492" s="3" t="s">
        <v>22</v>
      </c>
      <c r="M492" s="3" t="s">
        <v>2345</v>
      </c>
      <c r="N492" s="3" t="s">
        <v>2346</v>
      </c>
      <c r="O492" s="3" t="s">
        <v>2347</v>
      </c>
      <c r="P492" s="3" t="s">
        <v>25</v>
      </c>
      <c r="Q492" s="3" t="s">
        <v>5107</v>
      </c>
    </row>
    <row r="493" spans="1:17">
      <c r="A493" s="3">
        <v>1220652</v>
      </c>
      <c r="B493" s="3" t="s">
        <v>2348</v>
      </c>
      <c r="C493" s="3" t="str">
        <f>"9781622750030"</f>
        <v>9781622750030</v>
      </c>
      <c r="D493" s="3" t="str">
        <f>"9781622750153"</f>
        <v>9781622750153</v>
      </c>
      <c r="E493" s="3" t="s">
        <v>983</v>
      </c>
      <c r="F493" s="3" t="s">
        <v>984</v>
      </c>
      <c r="G493" s="4">
        <v>41470</v>
      </c>
      <c r="H493" s="3" t="s">
        <v>20</v>
      </c>
      <c r="I493" s="3">
        <v>1</v>
      </c>
      <c r="J493" s="3" t="s">
        <v>2327</v>
      </c>
      <c r="K493" s="3" t="s">
        <v>1383</v>
      </c>
      <c r="L493" s="3" t="s">
        <v>22</v>
      </c>
      <c r="M493" s="3" t="s">
        <v>2349</v>
      </c>
      <c r="N493" s="3" t="s">
        <v>2350</v>
      </c>
      <c r="O493" s="3" t="s">
        <v>2351</v>
      </c>
      <c r="P493" s="3" t="s">
        <v>25</v>
      </c>
      <c r="Q493" s="3" t="s">
        <v>5108</v>
      </c>
    </row>
    <row r="494" spans="1:17">
      <c r="A494" s="3">
        <v>1220654</v>
      </c>
      <c r="B494" s="3" t="s">
        <v>2352</v>
      </c>
      <c r="C494" s="3" t="str">
        <f>"9781622750221"</f>
        <v>9781622750221</v>
      </c>
      <c r="D494" s="3" t="str">
        <f>"9781622750252"</f>
        <v>9781622750252</v>
      </c>
      <c r="E494" s="3" t="s">
        <v>983</v>
      </c>
      <c r="F494" s="3" t="s">
        <v>984</v>
      </c>
      <c r="G494" s="4">
        <v>41470</v>
      </c>
      <c r="H494" s="3" t="s">
        <v>20</v>
      </c>
      <c r="I494" s="3">
        <v>1</v>
      </c>
      <c r="J494" s="3" t="s">
        <v>2353</v>
      </c>
      <c r="K494" s="3" t="s">
        <v>2354</v>
      </c>
      <c r="L494" s="3" t="s">
        <v>1157</v>
      </c>
      <c r="M494" s="3" t="s">
        <v>2355</v>
      </c>
      <c r="N494" s="3" t="s">
        <v>2356</v>
      </c>
      <c r="O494" s="3" t="s">
        <v>2357</v>
      </c>
      <c r="P494" s="3" t="s">
        <v>25</v>
      </c>
      <c r="Q494" s="3" t="s">
        <v>5109</v>
      </c>
    </row>
    <row r="495" spans="1:17">
      <c r="A495" s="3">
        <v>1274269</v>
      </c>
      <c r="B495" s="3" t="s">
        <v>2358</v>
      </c>
      <c r="C495" s="3" t="str">
        <f>"9780199898121"</f>
        <v>9780199898121</v>
      </c>
      <c r="D495" s="3" t="str">
        <f>"9780199898114"</f>
        <v>9780199898114</v>
      </c>
      <c r="E495" s="3" t="s">
        <v>910</v>
      </c>
      <c r="F495" s="3" t="s">
        <v>910</v>
      </c>
      <c r="G495" s="4">
        <v>41516</v>
      </c>
      <c r="H495" s="3" t="s">
        <v>20</v>
      </c>
      <c r="I495" s="3"/>
      <c r="J495" s="3" t="s">
        <v>1423</v>
      </c>
      <c r="K495" s="3" t="s">
        <v>2359</v>
      </c>
      <c r="L495" s="3" t="s">
        <v>1629</v>
      </c>
      <c r="M495" s="3" t="s">
        <v>2360</v>
      </c>
      <c r="N495" s="3">
        <v>614.4</v>
      </c>
      <c r="O495" s="3" t="s">
        <v>2361</v>
      </c>
      <c r="P495" s="3" t="s">
        <v>25</v>
      </c>
      <c r="Q495" s="3" t="s">
        <v>5110</v>
      </c>
    </row>
    <row r="496" spans="1:17">
      <c r="A496" s="3">
        <v>1274385</v>
      </c>
      <c r="B496" s="3" t="s">
        <v>2362</v>
      </c>
      <c r="C496" s="3" t="str">
        <f>"9780814720202"</f>
        <v>9780814720202</v>
      </c>
      <c r="D496" s="3" t="str">
        <f>"9781479878253"</f>
        <v>9781479878253</v>
      </c>
      <c r="E496" s="3" t="s">
        <v>1683</v>
      </c>
      <c r="F496" s="3" t="s">
        <v>1683</v>
      </c>
      <c r="G496" s="4">
        <v>41498</v>
      </c>
      <c r="H496" s="3" t="s">
        <v>20</v>
      </c>
      <c r="I496" s="3">
        <v>1</v>
      </c>
      <c r="J496" s="3" t="s">
        <v>2363</v>
      </c>
      <c r="K496" s="3" t="s">
        <v>2364</v>
      </c>
      <c r="L496" s="3" t="s">
        <v>58</v>
      </c>
      <c r="M496" s="3" t="s">
        <v>2365</v>
      </c>
      <c r="N496" s="3">
        <v>973.04924000000005</v>
      </c>
      <c r="O496" s="3"/>
      <c r="P496" s="3" t="s">
        <v>25</v>
      </c>
      <c r="Q496" s="3" t="s">
        <v>5111</v>
      </c>
    </row>
    <row r="497" spans="1:17">
      <c r="A497" s="3">
        <v>1286889</v>
      </c>
      <c r="B497" s="3" t="s">
        <v>2366</v>
      </c>
      <c r="C497" s="3" t="str">
        <f>"9780786435821"</f>
        <v>9780786435821</v>
      </c>
      <c r="D497" s="3" t="str">
        <f>"9781476602981"</f>
        <v>9781476602981</v>
      </c>
      <c r="E497" s="3" t="s">
        <v>828</v>
      </c>
      <c r="F497" s="3" t="s">
        <v>828</v>
      </c>
      <c r="G497" s="4">
        <v>41460</v>
      </c>
      <c r="H497" s="3" t="s">
        <v>20</v>
      </c>
      <c r="I497" s="3">
        <v>1</v>
      </c>
      <c r="J497" s="3"/>
      <c r="K497" s="3" t="s">
        <v>2367</v>
      </c>
      <c r="L497" s="3" t="s">
        <v>58</v>
      </c>
      <c r="M497" s="3" t="s">
        <v>2368</v>
      </c>
      <c r="N497" s="3">
        <v>951.05092200000001</v>
      </c>
      <c r="O497" s="3" t="s">
        <v>2369</v>
      </c>
      <c r="P497" s="3" t="s">
        <v>25</v>
      </c>
      <c r="Q497" s="3" t="s">
        <v>5112</v>
      </c>
    </row>
    <row r="498" spans="1:17">
      <c r="A498" s="3">
        <v>1303572</v>
      </c>
      <c r="B498" s="3" t="s">
        <v>2370</v>
      </c>
      <c r="C498" s="3" t="str">
        <f>"9780521407441"</f>
        <v>9780521407441</v>
      </c>
      <c r="D498" s="3" t="str">
        <f>"9781107316829"</f>
        <v>9781107316829</v>
      </c>
      <c r="E498" s="3" t="s">
        <v>41</v>
      </c>
      <c r="F498" s="3" t="s">
        <v>41</v>
      </c>
      <c r="G498" s="4">
        <v>40171</v>
      </c>
      <c r="H498" s="3" t="s">
        <v>20</v>
      </c>
      <c r="I498" s="3"/>
      <c r="J498" s="3"/>
      <c r="K498" s="3" t="s">
        <v>2371</v>
      </c>
      <c r="L498" s="3" t="s">
        <v>2372</v>
      </c>
      <c r="M498" s="3" t="s">
        <v>2373</v>
      </c>
      <c r="N498" s="3" t="s">
        <v>2374</v>
      </c>
      <c r="O498" s="3" t="s">
        <v>2375</v>
      </c>
      <c r="P498" s="3" t="s">
        <v>25</v>
      </c>
      <c r="Q498" s="3" t="s">
        <v>5113</v>
      </c>
    </row>
    <row r="499" spans="1:17">
      <c r="A499" s="3">
        <v>1322330</v>
      </c>
      <c r="B499" s="3" t="s">
        <v>2376</v>
      </c>
      <c r="C499" s="3" t="str">
        <f>"9780631228660"</f>
        <v>9780631228660</v>
      </c>
      <c r="D499" s="3" t="str">
        <f>"9781118593967"</f>
        <v>9781118593967</v>
      </c>
      <c r="E499" s="3" t="s">
        <v>32</v>
      </c>
      <c r="F499" s="3" t="s">
        <v>33</v>
      </c>
      <c r="G499" s="4">
        <v>41540</v>
      </c>
      <c r="H499" s="3" t="s">
        <v>20</v>
      </c>
      <c r="I499" s="3">
        <v>1</v>
      </c>
      <c r="J499" s="3" t="s">
        <v>2377</v>
      </c>
      <c r="K499" s="3" t="s">
        <v>2378</v>
      </c>
      <c r="L499" s="3" t="s">
        <v>1205</v>
      </c>
      <c r="M499" s="3" t="s">
        <v>2379</v>
      </c>
      <c r="N499" s="3">
        <v>306.44</v>
      </c>
      <c r="O499" s="3" t="s">
        <v>2380</v>
      </c>
      <c r="P499" s="3" t="s">
        <v>25</v>
      </c>
      <c r="Q499" s="3" t="s">
        <v>5114</v>
      </c>
    </row>
    <row r="500" spans="1:17">
      <c r="A500" s="3">
        <v>1330901</v>
      </c>
      <c r="B500" s="3" t="s">
        <v>2381</v>
      </c>
      <c r="C500" s="3" t="str">
        <f>"9780230246539"</f>
        <v>9780230246539</v>
      </c>
      <c r="D500" s="3" t="str">
        <f>"9780230367463"</f>
        <v>9780230367463</v>
      </c>
      <c r="E500" s="3" t="s">
        <v>191</v>
      </c>
      <c r="F500" s="3" t="s">
        <v>192</v>
      </c>
      <c r="G500" s="4">
        <v>41010</v>
      </c>
      <c r="H500" s="3" t="s">
        <v>20</v>
      </c>
      <c r="I500" s="3"/>
      <c r="J500" s="3"/>
      <c r="K500" s="3" t="s">
        <v>2382</v>
      </c>
      <c r="L500" s="3" t="s">
        <v>406</v>
      </c>
      <c r="M500" s="3" t="s">
        <v>195</v>
      </c>
      <c r="N500" s="3">
        <v>796.48</v>
      </c>
      <c r="O500" s="3" t="s">
        <v>2383</v>
      </c>
      <c r="P500" s="3" t="s">
        <v>25</v>
      </c>
      <c r="Q500" s="3" t="s">
        <v>5115</v>
      </c>
    </row>
    <row r="501" spans="1:17">
      <c r="A501" s="3">
        <v>1336501</v>
      </c>
      <c r="B501" s="3" t="s">
        <v>2384</v>
      </c>
      <c r="C501" s="3" t="str">
        <f>"9780199322381"</f>
        <v>9780199322381</v>
      </c>
      <c r="D501" s="3" t="str">
        <f>"9780199322404"</f>
        <v>9780199322404</v>
      </c>
      <c r="E501" s="3" t="s">
        <v>910</v>
      </c>
      <c r="F501" s="3" t="s">
        <v>910</v>
      </c>
      <c r="G501" s="4">
        <v>41542</v>
      </c>
      <c r="H501" s="3" t="s">
        <v>20</v>
      </c>
      <c r="I501" s="3">
        <v>2</v>
      </c>
      <c r="J501" s="3" t="s">
        <v>1423</v>
      </c>
      <c r="K501" s="3" t="s">
        <v>2385</v>
      </c>
      <c r="L501" s="3" t="s">
        <v>2386</v>
      </c>
      <c r="M501" s="3" t="s">
        <v>2387</v>
      </c>
      <c r="N501" s="3" t="s">
        <v>2388</v>
      </c>
      <c r="O501" s="3" t="s">
        <v>2389</v>
      </c>
      <c r="P501" s="3" t="s">
        <v>25</v>
      </c>
      <c r="Q501" s="3" t="s">
        <v>5116</v>
      </c>
    </row>
    <row r="502" spans="1:17">
      <c r="A502" s="3">
        <v>1337884</v>
      </c>
      <c r="B502" s="3" t="s">
        <v>2390</v>
      </c>
      <c r="C502" s="3" t="str">
        <f>"9780814789193"</f>
        <v>9780814789193</v>
      </c>
      <c r="D502" s="3" t="str">
        <f>"9780814760352"</f>
        <v>9780814760352</v>
      </c>
      <c r="E502" s="3" t="s">
        <v>1683</v>
      </c>
      <c r="F502" s="3" t="s">
        <v>1683</v>
      </c>
      <c r="G502" s="4">
        <v>41530</v>
      </c>
      <c r="H502" s="3" t="s">
        <v>20</v>
      </c>
      <c r="I502" s="3">
        <v>1</v>
      </c>
      <c r="J502" s="3"/>
      <c r="K502" s="3" t="s">
        <v>2391</v>
      </c>
      <c r="L502" s="3" t="s">
        <v>58</v>
      </c>
      <c r="M502" s="3" t="s">
        <v>2392</v>
      </c>
      <c r="N502" s="3">
        <v>973.2</v>
      </c>
      <c r="O502" s="3"/>
      <c r="P502" s="3" t="s">
        <v>25</v>
      </c>
      <c r="Q502" s="3" t="s">
        <v>5117</v>
      </c>
    </row>
    <row r="503" spans="1:17">
      <c r="A503" s="3">
        <v>1354685</v>
      </c>
      <c r="B503" s="3" t="s">
        <v>2393</v>
      </c>
      <c r="C503" s="3" t="str">
        <f>"9780691157863"</f>
        <v>9780691157863</v>
      </c>
      <c r="D503" s="3" t="str">
        <f>"9781400848058"</f>
        <v>9781400848058</v>
      </c>
      <c r="E503" s="3" t="s">
        <v>2394</v>
      </c>
      <c r="F503" s="3" t="s">
        <v>2394</v>
      </c>
      <c r="G503" s="4">
        <v>41602</v>
      </c>
      <c r="H503" s="3" t="s">
        <v>20</v>
      </c>
      <c r="I503" s="3"/>
      <c r="J503" s="3"/>
      <c r="K503" s="3" t="s">
        <v>2395</v>
      </c>
      <c r="L503" s="3" t="s">
        <v>118</v>
      </c>
      <c r="M503" s="3" t="s">
        <v>2396</v>
      </c>
      <c r="N503" s="3">
        <v>294.303</v>
      </c>
      <c r="O503" s="3" t="s">
        <v>2397</v>
      </c>
      <c r="P503" s="3" t="s">
        <v>25</v>
      </c>
      <c r="Q503" s="3" t="s">
        <v>5118</v>
      </c>
    </row>
    <row r="504" spans="1:17">
      <c r="A504" s="3">
        <v>1357379</v>
      </c>
      <c r="B504" s="3" t="s">
        <v>2398</v>
      </c>
      <c r="C504" s="3" t="str">
        <f>"9780521697699"</f>
        <v>9780521697699</v>
      </c>
      <c r="D504" s="3" t="str">
        <f>"9781107316850"</f>
        <v>9781107316850</v>
      </c>
      <c r="E504" s="3" t="s">
        <v>41</v>
      </c>
      <c r="F504" s="3" t="s">
        <v>41</v>
      </c>
      <c r="G504" s="4">
        <v>39594</v>
      </c>
      <c r="H504" s="3" t="s">
        <v>20</v>
      </c>
      <c r="I504" s="3"/>
      <c r="J504" s="3"/>
      <c r="K504" s="3" t="s">
        <v>2399</v>
      </c>
      <c r="L504" s="3" t="s">
        <v>204</v>
      </c>
      <c r="M504" s="3" t="s">
        <v>2400</v>
      </c>
      <c r="N504" s="3" t="s">
        <v>2401</v>
      </c>
      <c r="O504" s="3" t="s">
        <v>2402</v>
      </c>
      <c r="P504" s="3" t="s">
        <v>25</v>
      </c>
      <c r="Q504" s="3" t="s">
        <v>5119</v>
      </c>
    </row>
    <row r="505" spans="1:17">
      <c r="A505" s="3">
        <v>1362034</v>
      </c>
      <c r="B505" s="3" t="s">
        <v>2403</v>
      </c>
      <c r="C505" s="3" t="str">
        <f>"9781742233734"</f>
        <v>9781742233734</v>
      </c>
      <c r="D505" s="3" t="str">
        <f>"9781742246291"</f>
        <v>9781742246291</v>
      </c>
      <c r="E505" s="3" t="s">
        <v>2404</v>
      </c>
      <c r="F505" s="3" t="s">
        <v>2404</v>
      </c>
      <c r="G505" s="4">
        <v>41306</v>
      </c>
      <c r="H505" s="3" t="s">
        <v>20</v>
      </c>
      <c r="I505" s="3">
        <v>1</v>
      </c>
      <c r="J505" s="3"/>
      <c r="K505" s="3" t="s">
        <v>2405</v>
      </c>
      <c r="L505" s="3" t="s">
        <v>504</v>
      </c>
      <c r="M505" s="3" t="s">
        <v>2406</v>
      </c>
      <c r="N505" s="3">
        <v>423.1</v>
      </c>
      <c r="O505" s="3" t="s">
        <v>2407</v>
      </c>
      <c r="P505" s="3" t="s">
        <v>25</v>
      </c>
      <c r="Q505" s="3" t="s">
        <v>5120</v>
      </c>
    </row>
    <row r="506" spans="1:17">
      <c r="A506" s="3">
        <v>1386985</v>
      </c>
      <c r="B506" s="3" t="s">
        <v>2408</v>
      </c>
      <c r="C506" s="3" t="str">
        <f>"9780786468270"</f>
        <v>9780786468270</v>
      </c>
      <c r="D506" s="3" t="str">
        <f>"9781476605739"</f>
        <v>9781476605739</v>
      </c>
      <c r="E506" s="3" t="s">
        <v>828</v>
      </c>
      <c r="F506" s="3" t="s">
        <v>828</v>
      </c>
      <c r="G506" s="4">
        <v>41516</v>
      </c>
      <c r="H506" s="3" t="s">
        <v>20</v>
      </c>
      <c r="I506" s="3">
        <v>3</v>
      </c>
      <c r="J506" s="3"/>
      <c r="K506" s="3" t="s">
        <v>2409</v>
      </c>
      <c r="L506" s="3" t="s">
        <v>64</v>
      </c>
      <c r="M506" s="3" t="s">
        <v>2410</v>
      </c>
      <c r="N506" s="3">
        <v>394.2663</v>
      </c>
      <c r="O506" s="3" t="s">
        <v>2411</v>
      </c>
      <c r="P506" s="3" t="s">
        <v>25</v>
      </c>
      <c r="Q506" s="3" t="s">
        <v>5121</v>
      </c>
    </row>
    <row r="507" spans="1:17">
      <c r="A507" s="3">
        <v>1386986</v>
      </c>
      <c r="B507" s="3" t="s">
        <v>2412</v>
      </c>
      <c r="C507" s="3" t="str">
        <f>"9780786471119"</f>
        <v>9780786471119</v>
      </c>
      <c r="D507" s="3" t="str">
        <f>"9781476612423"</f>
        <v>9781476612423</v>
      </c>
      <c r="E507" s="3" t="s">
        <v>828</v>
      </c>
      <c r="F507" s="3" t="s">
        <v>828</v>
      </c>
      <c r="G507" s="4">
        <v>41516</v>
      </c>
      <c r="H507" s="3" t="s">
        <v>20</v>
      </c>
      <c r="I507" s="3">
        <v>1</v>
      </c>
      <c r="J507" s="3"/>
      <c r="K507" s="3" t="s">
        <v>953</v>
      </c>
      <c r="L507" s="3" t="s">
        <v>2413</v>
      </c>
      <c r="M507" s="3" t="s">
        <v>2414</v>
      </c>
      <c r="N507" s="3">
        <v>398.21</v>
      </c>
      <c r="O507" s="3" t="s">
        <v>2415</v>
      </c>
      <c r="P507" s="3" t="s">
        <v>25</v>
      </c>
      <c r="Q507" s="3" t="s">
        <v>5122</v>
      </c>
    </row>
    <row r="508" spans="1:17">
      <c r="A508" s="3">
        <v>1387161</v>
      </c>
      <c r="B508" s="3" t="s">
        <v>2416</v>
      </c>
      <c r="C508" s="3" t="str">
        <f>"9781479847112"</f>
        <v>9781479847112</v>
      </c>
      <c r="D508" s="3" t="str">
        <f>"9781479844470"</f>
        <v>9781479844470</v>
      </c>
      <c r="E508" s="3" t="s">
        <v>1683</v>
      </c>
      <c r="F508" s="3" t="s">
        <v>1683</v>
      </c>
      <c r="G508" s="4">
        <v>41551</v>
      </c>
      <c r="H508" s="3" t="s">
        <v>20</v>
      </c>
      <c r="I508" s="3">
        <v>2</v>
      </c>
      <c r="J508" s="3"/>
      <c r="K508" s="3" t="s">
        <v>2417</v>
      </c>
      <c r="L508" s="3" t="s">
        <v>225</v>
      </c>
      <c r="M508" s="3" t="s">
        <v>2418</v>
      </c>
      <c r="N508" s="3" t="s">
        <v>2419</v>
      </c>
      <c r="O508" s="3"/>
      <c r="P508" s="3" t="s">
        <v>25</v>
      </c>
      <c r="Q508" s="3" t="s">
        <v>5123</v>
      </c>
    </row>
    <row r="509" spans="1:17">
      <c r="A509" s="3">
        <v>1398195</v>
      </c>
      <c r="B509" s="3" t="s">
        <v>2420</v>
      </c>
      <c r="C509" s="3" t="str">
        <f>"9783527407422"</f>
        <v>9783527407422</v>
      </c>
      <c r="D509" s="3" t="str">
        <f>"9783527649273"</f>
        <v>9783527649273</v>
      </c>
      <c r="E509" s="3" t="s">
        <v>32</v>
      </c>
      <c r="F509" s="3" t="s">
        <v>1677</v>
      </c>
      <c r="G509" s="4">
        <v>41582</v>
      </c>
      <c r="H509" s="3" t="s">
        <v>20</v>
      </c>
      <c r="I509" s="3">
        <v>2</v>
      </c>
      <c r="J509" s="3" t="s">
        <v>2421</v>
      </c>
      <c r="K509" s="3" t="s">
        <v>2422</v>
      </c>
      <c r="L509" s="3" t="s">
        <v>551</v>
      </c>
      <c r="M509" s="3" t="s">
        <v>2423</v>
      </c>
      <c r="N509" s="3">
        <v>539.70000000000005</v>
      </c>
      <c r="O509" s="3" t="s">
        <v>2424</v>
      </c>
      <c r="P509" s="3" t="s">
        <v>25</v>
      </c>
      <c r="Q509" s="3" t="s">
        <v>5124</v>
      </c>
    </row>
    <row r="510" spans="1:17">
      <c r="A510" s="3">
        <v>1402856</v>
      </c>
      <c r="B510" s="3" t="s">
        <v>2425</v>
      </c>
      <c r="C510" s="3" t="str">
        <f>"9789042036710"</f>
        <v>9789042036710</v>
      </c>
      <c r="D510" s="3" t="str">
        <f>"9789401209366"</f>
        <v>9789401209366</v>
      </c>
      <c r="E510" s="3" t="s">
        <v>611</v>
      </c>
      <c r="F510" s="3" t="s">
        <v>2426</v>
      </c>
      <c r="G510" s="4">
        <v>41275</v>
      </c>
      <c r="H510" s="3" t="s">
        <v>20</v>
      </c>
      <c r="I510" s="3">
        <v>1</v>
      </c>
      <c r="J510" s="3"/>
      <c r="K510" s="3" t="s">
        <v>2427</v>
      </c>
      <c r="L510" s="3" t="s">
        <v>504</v>
      </c>
      <c r="M510" s="3" t="s">
        <v>2428</v>
      </c>
      <c r="N510" s="3" t="s">
        <v>2429</v>
      </c>
      <c r="O510" s="3" t="s">
        <v>2430</v>
      </c>
      <c r="P510" s="3" t="s">
        <v>25</v>
      </c>
      <c r="Q510" s="3" t="s">
        <v>5125</v>
      </c>
    </row>
    <row r="511" spans="1:17">
      <c r="A511" s="3">
        <v>1402905</v>
      </c>
      <c r="B511" s="3" t="s">
        <v>2431</v>
      </c>
      <c r="C511" s="3" t="str">
        <f>"9780253348661"</f>
        <v>9780253348661</v>
      </c>
      <c r="D511" s="3" t="str">
        <f>"9780253013774"</f>
        <v>9780253013774</v>
      </c>
      <c r="E511" s="3" t="s">
        <v>2432</v>
      </c>
      <c r="F511" s="3" t="s">
        <v>2432</v>
      </c>
      <c r="G511" s="4">
        <v>39296</v>
      </c>
      <c r="H511" s="3" t="s">
        <v>20</v>
      </c>
      <c r="I511" s="3">
        <v>2</v>
      </c>
      <c r="J511" s="3" t="s">
        <v>2433</v>
      </c>
      <c r="K511" s="3" t="s">
        <v>2434</v>
      </c>
      <c r="L511" s="3" t="s">
        <v>43</v>
      </c>
      <c r="M511" s="3" t="s">
        <v>2435</v>
      </c>
      <c r="N511" s="3" t="s">
        <v>2436</v>
      </c>
      <c r="O511" s="3" t="s">
        <v>2437</v>
      </c>
      <c r="P511" s="3" t="s">
        <v>25</v>
      </c>
      <c r="Q511" s="3" t="s">
        <v>5126</v>
      </c>
    </row>
    <row r="512" spans="1:17">
      <c r="A512" s="3">
        <v>1455574</v>
      </c>
      <c r="B512" s="3" t="s">
        <v>2438</v>
      </c>
      <c r="C512" s="3" t="str">
        <f>"9780814707395"</f>
        <v>9780814707395</v>
      </c>
      <c r="D512" s="3" t="str">
        <f>"9781479819713"</f>
        <v>9781479819713</v>
      </c>
      <c r="E512" s="3" t="s">
        <v>1683</v>
      </c>
      <c r="F512" s="3" t="s">
        <v>1683</v>
      </c>
      <c r="G512" s="4">
        <v>41561</v>
      </c>
      <c r="H512" s="3" t="s">
        <v>20</v>
      </c>
      <c r="I512" s="3">
        <v>1</v>
      </c>
      <c r="J512" s="3" t="s">
        <v>2363</v>
      </c>
      <c r="K512" s="3" t="s">
        <v>2439</v>
      </c>
      <c r="L512" s="3" t="s">
        <v>118</v>
      </c>
      <c r="M512" s="3" t="s">
        <v>2440</v>
      </c>
      <c r="N512" s="3">
        <v>296.4350973</v>
      </c>
      <c r="O512" s="3" t="s">
        <v>2441</v>
      </c>
      <c r="P512" s="3" t="s">
        <v>25</v>
      </c>
      <c r="Q512" s="3" t="s">
        <v>5127</v>
      </c>
    </row>
    <row r="513" spans="1:17">
      <c r="A513" s="3">
        <v>1480972</v>
      </c>
      <c r="B513" s="3" t="s">
        <v>2442</v>
      </c>
      <c r="C513" s="3" t="str">
        <f>"9780199311255"</f>
        <v>9780199311255</v>
      </c>
      <c r="D513" s="3" t="str">
        <f>"9780199311279"</f>
        <v>9780199311279</v>
      </c>
      <c r="E513" s="3" t="s">
        <v>910</v>
      </c>
      <c r="F513" s="3" t="s">
        <v>910</v>
      </c>
      <c r="G513" s="4">
        <v>41617</v>
      </c>
      <c r="H513" s="3" t="s">
        <v>20</v>
      </c>
      <c r="I513" s="3"/>
      <c r="J513" s="3" t="s">
        <v>1423</v>
      </c>
      <c r="K513" s="3" t="s">
        <v>2443</v>
      </c>
      <c r="L513" s="3" t="s">
        <v>2444</v>
      </c>
      <c r="M513" s="3" t="s">
        <v>2445</v>
      </c>
      <c r="N513" s="3">
        <v>622.33849999999995</v>
      </c>
      <c r="O513" s="3" t="s">
        <v>2446</v>
      </c>
      <c r="P513" s="3" t="s">
        <v>25</v>
      </c>
      <c r="Q513" s="3" t="s">
        <v>5128</v>
      </c>
    </row>
    <row r="514" spans="1:17">
      <c r="A514" s="3">
        <v>1492914</v>
      </c>
      <c r="B514" s="3" t="s">
        <v>2447</v>
      </c>
      <c r="C514" s="3" t="str">
        <f>"9780838911112"</f>
        <v>9780838911112</v>
      </c>
      <c r="D514" s="3" t="str">
        <f>"9780838996553"</f>
        <v>9780838996553</v>
      </c>
      <c r="E514" s="3" t="s">
        <v>2448</v>
      </c>
      <c r="F514" s="3" t="s">
        <v>2448</v>
      </c>
      <c r="G514" s="4">
        <v>41415</v>
      </c>
      <c r="H514" s="3" t="s">
        <v>20</v>
      </c>
      <c r="I514" s="3">
        <v>4</v>
      </c>
      <c r="J514" s="3"/>
      <c r="K514" s="3" t="s">
        <v>2449</v>
      </c>
      <c r="L514" s="3" t="s">
        <v>2450</v>
      </c>
      <c r="M514" s="3" t="s">
        <v>2451</v>
      </c>
      <c r="N514" s="3">
        <v>20.3</v>
      </c>
      <c r="O514" s="3" t="s">
        <v>2452</v>
      </c>
      <c r="P514" s="3" t="s">
        <v>25</v>
      </c>
      <c r="Q514" s="3" t="s">
        <v>5129</v>
      </c>
    </row>
    <row r="515" spans="1:17">
      <c r="A515" s="3">
        <v>1507496</v>
      </c>
      <c r="B515" s="3" t="s">
        <v>2453</v>
      </c>
      <c r="C515" s="3" t="str">
        <f>"9780198569985"</f>
        <v>9780198569985</v>
      </c>
      <c r="D515" s="3" t="str">
        <f>"9780191546983"</f>
        <v>9780191546983</v>
      </c>
      <c r="E515" s="3" t="s">
        <v>910</v>
      </c>
      <c r="F515" s="3" t="s">
        <v>910</v>
      </c>
      <c r="G515" s="4">
        <v>40381</v>
      </c>
      <c r="H515" s="3" t="s">
        <v>20</v>
      </c>
      <c r="I515" s="3"/>
      <c r="J515" s="3"/>
      <c r="K515" s="3" t="s">
        <v>2454</v>
      </c>
      <c r="L515" s="3" t="s">
        <v>49</v>
      </c>
      <c r="M515" s="3" t="s">
        <v>2455</v>
      </c>
      <c r="N515" s="3">
        <v>598</v>
      </c>
      <c r="O515" s="3" t="s">
        <v>2456</v>
      </c>
      <c r="P515" s="3" t="s">
        <v>25</v>
      </c>
      <c r="Q515" s="3" t="s">
        <v>5130</v>
      </c>
    </row>
    <row r="516" spans="1:17">
      <c r="A516" s="3">
        <v>1538365</v>
      </c>
      <c r="B516" s="3" t="s">
        <v>2457</v>
      </c>
      <c r="C516" s="3" t="str">
        <f>"9780199918119"</f>
        <v>9780199918119</v>
      </c>
      <c r="D516" s="3" t="str">
        <f>"9780199918102"</f>
        <v>9780199918102</v>
      </c>
      <c r="E516" s="3" t="s">
        <v>910</v>
      </c>
      <c r="F516" s="3" t="s">
        <v>910</v>
      </c>
      <c r="G516" s="4">
        <v>41642</v>
      </c>
      <c r="H516" s="3" t="s">
        <v>20</v>
      </c>
      <c r="I516" s="3"/>
      <c r="J516" s="3" t="s">
        <v>1423</v>
      </c>
      <c r="K516" s="3" t="s">
        <v>2458</v>
      </c>
      <c r="L516" s="3" t="s">
        <v>918</v>
      </c>
      <c r="M516" s="3" t="s">
        <v>2459</v>
      </c>
      <c r="N516" s="3">
        <v>5.8</v>
      </c>
      <c r="O516" s="3" t="s">
        <v>2460</v>
      </c>
      <c r="P516" s="3" t="s">
        <v>25</v>
      </c>
      <c r="Q516" s="3" t="s">
        <v>5131</v>
      </c>
    </row>
    <row r="517" spans="1:17">
      <c r="A517" s="3">
        <v>1569622</v>
      </c>
      <c r="B517" s="3" t="s">
        <v>2461</v>
      </c>
      <c r="C517" s="3" t="str">
        <f>"9789004184923"</f>
        <v>9789004184923</v>
      </c>
      <c r="D517" s="3" t="str">
        <f>"9789004217621"</f>
        <v>9789004217621</v>
      </c>
      <c r="E517" s="3" t="s">
        <v>611</v>
      </c>
      <c r="F517" s="3" t="s">
        <v>611</v>
      </c>
      <c r="G517" s="4">
        <v>41148</v>
      </c>
      <c r="H517" s="3" t="s">
        <v>20</v>
      </c>
      <c r="I517" s="3">
        <v>1</v>
      </c>
      <c r="J517" s="3" t="s">
        <v>2128</v>
      </c>
      <c r="K517" s="3" t="s">
        <v>2462</v>
      </c>
      <c r="L517" s="3" t="s">
        <v>22</v>
      </c>
      <c r="M517" s="3" t="s">
        <v>2463</v>
      </c>
      <c r="N517" s="3" t="s">
        <v>2464</v>
      </c>
      <c r="O517" s="3"/>
      <c r="P517" s="3" t="s">
        <v>25</v>
      </c>
      <c r="Q517" s="3" t="s">
        <v>5132</v>
      </c>
    </row>
    <row r="518" spans="1:17">
      <c r="A518" s="3">
        <v>1572868</v>
      </c>
      <c r="B518" s="3" t="s">
        <v>2465</v>
      </c>
      <c r="C518" s="3" t="str">
        <f>"9780814724378"</f>
        <v>9780814724378</v>
      </c>
      <c r="D518" s="3" t="str">
        <f>"9780814724491"</f>
        <v>9780814724491</v>
      </c>
      <c r="E518" s="3" t="s">
        <v>1683</v>
      </c>
      <c r="F518" s="3" t="s">
        <v>1683</v>
      </c>
      <c r="G518" s="4">
        <v>41656</v>
      </c>
      <c r="H518" s="3" t="s">
        <v>20</v>
      </c>
      <c r="I518" s="3">
        <v>1</v>
      </c>
      <c r="J518" s="3"/>
      <c r="K518" s="3" t="s">
        <v>2417</v>
      </c>
      <c r="L518" s="3" t="s">
        <v>225</v>
      </c>
      <c r="M518" s="3" t="s">
        <v>2466</v>
      </c>
      <c r="N518" s="3">
        <v>305.80097499999999</v>
      </c>
      <c r="O518" s="3"/>
      <c r="P518" s="3" t="s">
        <v>25</v>
      </c>
      <c r="Q518" s="3" t="s">
        <v>5133</v>
      </c>
    </row>
    <row r="519" spans="1:17">
      <c r="A519" s="3">
        <v>1573118</v>
      </c>
      <c r="B519" s="3" t="s">
        <v>2467</v>
      </c>
      <c r="C519" s="3" t="str">
        <f>"9780199692323"</f>
        <v>9780199692323</v>
      </c>
      <c r="D519" s="3" t="str">
        <f>"9780191029585"</f>
        <v>9780191029585</v>
      </c>
      <c r="E519" s="3" t="s">
        <v>910</v>
      </c>
      <c r="F519" s="3" t="s">
        <v>910</v>
      </c>
      <c r="G519" s="4">
        <v>40788</v>
      </c>
      <c r="H519" s="3" t="s">
        <v>20</v>
      </c>
      <c r="I519" s="3">
        <v>5</v>
      </c>
      <c r="J519" s="3" t="s">
        <v>2468</v>
      </c>
      <c r="K519" s="3" t="s">
        <v>2469</v>
      </c>
      <c r="L519" s="3" t="s">
        <v>354</v>
      </c>
      <c r="M519" s="3" t="s">
        <v>2470</v>
      </c>
      <c r="N519" s="3">
        <v>342.06</v>
      </c>
      <c r="O519" s="3" t="s">
        <v>2471</v>
      </c>
      <c r="P519" s="3" t="s">
        <v>25</v>
      </c>
      <c r="Q519" s="3" t="s">
        <v>5134</v>
      </c>
    </row>
    <row r="520" spans="1:17">
      <c r="A520" s="3">
        <v>1579690</v>
      </c>
      <c r="B520" s="3" t="s">
        <v>2472</v>
      </c>
      <c r="C520" s="3" t="str">
        <f>"9781608077199"</f>
        <v>9781608077199</v>
      </c>
      <c r="D520" s="3" t="str">
        <f>"9781608077205"</f>
        <v>9781608077205</v>
      </c>
      <c r="E520" s="3" t="s">
        <v>2473</v>
      </c>
      <c r="F520" s="3" t="s">
        <v>2473</v>
      </c>
      <c r="G520" s="4">
        <v>41640</v>
      </c>
      <c r="H520" s="3" t="s">
        <v>20</v>
      </c>
      <c r="I520" s="3">
        <v>1</v>
      </c>
      <c r="J520" s="3"/>
      <c r="K520" s="3" t="s">
        <v>2474</v>
      </c>
      <c r="L520" s="3" t="s">
        <v>2475</v>
      </c>
      <c r="M520" s="3" t="s">
        <v>2476</v>
      </c>
      <c r="N520" s="3">
        <v>621.38099999999997</v>
      </c>
      <c r="O520" s="3" t="s">
        <v>2477</v>
      </c>
      <c r="P520" s="3" t="s">
        <v>25</v>
      </c>
      <c r="Q520" s="3" t="s">
        <v>5135</v>
      </c>
    </row>
    <row r="521" spans="1:17">
      <c r="A521" s="3">
        <v>1582264</v>
      </c>
      <c r="B521" s="3" t="s">
        <v>2478</v>
      </c>
      <c r="C521" s="3" t="str">
        <f>"9789004255777"</f>
        <v>9789004255777</v>
      </c>
      <c r="D521" s="3" t="str">
        <f>"9789004260580"</f>
        <v>9789004260580</v>
      </c>
      <c r="E521" s="3" t="s">
        <v>611</v>
      </c>
      <c r="F521" s="3" t="s">
        <v>611</v>
      </c>
      <c r="G521" s="4">
        <v>41603</v>
      </c>
      <c r="H521" s="3" t="s">
        <v>20</v>
      </c>
      <c r="I521" s="3">
        <v>1</v>
      </c>
      <c r="J521" s="3" t="s">
        <v>2479</v>
      </c>
      <c r="K521" s="3" t="s">
        <v>2480</v>
      </c>
      <c r="L521" s="3" t="s">
        <v>504</v>
      </c>
      <c r="M521" s="3" t="s">
        <v>2481</v>
      </c>
      <c r="N521" s="3">
        <v>495.93</v>
      </c>
      <c r="O521" s="3"/>
      <c r="P521" s="3" t="s">
        <v>25</v>
      </c>
      <c r="Q521" s="3" t="s">
        <v>5136</v>
      </c>
    </row>
    <row r="522" spans="1:17">
      <c r="A522" s="3">
        <v>1582383</v>
      </c>
      <c r="B522" s="3" t="s">
        <v>2482</v>
      </c>
      <c r="C522" s="3" t="str">
        <f>"9781118462669"</f>
        <v>9781118462669</v>
      </c>
      <c r="D522" s="3" t="str">
        <f>"9781118791394"</f>
        <v>9781118791394</v>
      </c>
      <c r="E522" s="3" t="s">
        <v>32</v>
      </c>
      <c r="F522" s="3" t="s">
        <v>530</v>
      </c>
      <c r="G522" s="4">
        <v>41667</v>
      </c>
      <c r="H522" s="3" t="s">
        <v>20</v>
      </c>
      <c r="I522" s="3">
        <v>1</v>
      </c>
      <c r="J522" s="3"/>
      <c r="K522" s="3" t="s">
        <v>2483</v>
      </c>
      <c r="L522" s="3" t="s">
        <v>532</v>
      </c>
      <c r="M522" s="3" t="s">
        <v>2484</v>
      </c>
      <c r="N522" s="3" t="s">
        <v>2485</v>
      </c>
      <c r="O522" s="3" t="s">
        <v>2486</v>
      </c>
      <c r="P522" s="3" t="s">
        <v>25</v>
      </c>
      <c r="Q522" s="3" t="s">
        <v>5137</v>
      </c>
    </row>
    <row r="523" spans="1:17">
      <c r="A523" s="3">
        <v>1582931</v>
      </c>
      <c r="B523" s="3" t="s">
        <v>2487</v>
      </c>
      <c r="C523" s="3" t="str">
        <f>"9780814789285"</f>
        <v>9780814789285</v>
      </c>
      <c r="D523" s="3" t="str">
        <f>"9780814764824"</f>
        <v>9780814764824</v>
      </c>
      <c r="E523" s="3" t="s">
        <v>1683</v>
      </c>
      <c r="F523" s="3" t="s">
        <v>1683</v>
      </c>
      <c r="G523" s="4">
        <v>41659</v>
      </c>
      <c r="H523" s="3" t="s">
        <v>20</v>
      </c>
      <c r="I523" s="3">
        <v>1</v>
      </c>
      <c r="J523" s="3" t="s">
        <v>2488</v>
      </c>
      <c r="K523" s="3" t="s">
        <v>2489</v>
      </c>
      <c r="L523" s="3" t="s">
        <v>204</v>
      </c>
      <c r="M523" s="3" t="s">
        <v>2490</v>
      </c>
      <c r="N523" s="3">
        <v>617.9</v>
      </c>
      <c r="O523" s="3"/>
      <c r="P523" s="3" t="s">
        <v>25</v>
      </c>
      <c r="Q523" s="3" t="s">
        <v>5138</v>
      </c>
    </row>
    <row r="524" spans="1:17">
      <c r="A524" s="3">
        <v>1591060</v>
      </c>
      <c r="B524" s="3" t="s">
        <v>2491</v>
      </c>
      <c r="C524" s="3" t="str">
        <f>"9780199651450"</f>
        <v>9780199651450</v>
      </c>
      <c r="D524" s="3" t="str">
        <f>"9780191002694"</f>
        <v>9780191002694</v>
      </c>
      <c r="E524" s="3" t="s">
        <v>910</v>
      </c>
      <c r="F524" s="3" t="s">
        <v>2492</v>
      </c>
      <c r="G524" s="4">
        <v>41773</v>
      </c>
      <c r="H524" s="3" t="s">
        <v>20</v>
      </c>
      <c r="I524" s="3"/>
      <c r="J524" s="3" t="s">
        <v>2493</v>
      </c>
      <c r="K524" s="3" t="s">
        <v>2494</v>
      </c>
      <c r="L524" s="3" t="s">
        <v>2495</v>
      </c>
      <c r="M524" s="3" t="s">
        <v>2496</v>
      </c>
      <c r="N524" s="3">
        <v>660</v>
      </c>
      <c r="O524" s="3" t="s">
        <v>2497</v>
      </c>
      <c r="P524" s="3" t="s">
        <v>25</v>
      </c>
      <c r="Q524" s="3" t="s">
        <v>5139</v>
      </c>
    </row>
    <row r="525" spans="1:17">
      <c r="A525" s="3">
        <v>1591335</v>
      </c>
      <c r="B525" s="3" t="s">
        <v>2498</v>
      </c>
      <c r="C525" s="3" t="str">
        <f>"9780195333602"</f>
        <v>9780195333602</v>
      </c>
      <c r="D525" s="3" t="str">
        <f>"9780199715398"</f>
        <v>9780199715398</v>
      </c>
      <c r="E525" s="3" t="s">
        <v>910</v>
      </c>
      <c r="F525" s="3" t="s">
        <v>910</v>
      </c>
      <c r="G525" s="4">
        <v>40604</v>
      </c>
      <c r="H525" s="3" t="s">
        <v>20</v>
      </c>
      <c r="I525" s="3"/>
      <c r="J525" s="3" t="s">
        <v>2499</v>
      </c>
      <c r="K525" s="3" t="s">
        <v>2500</v>
      </c>
      <c r="L525" s="3" t="s">
        <v>867</v>
      </c>
      <c r="M525" s="3" t="s">
        <v>2501</v>
      </c>
      <c r="N525" s="3" t="s">
        <v>847</v>
      </c>
      <c r="O525" s="3" t="s">
        <v>2502</v>
      </c>
      <c r="P525" s="3" t="s">
        <v>25</v>
      </c>
      <c r="Q525" s="3" t="s">
        <v>5140</v>
      </c>
    </row>
    <row r="526" spans="1:17">
      <c r="A526" s="3">
        <v>1591531</v>
      </c>
      <c r="B526" s="3" t="s">
        <v>2503</v>
      </c>
      <c r="C526" s="3" t="str">
        <f>"9780199795482"</f>
        <v>9780199795482</v>
      </c>
      <c r="D526" s="3" t="str">
        <f>"9780199878215"</f>
        <v>9780199878215</v>
      </c>
      <c r="E526" s="3" t="s">
        <v>910</v>
      </c>
      <c r="F526" s="3" t="s">
        <v>910</v>
      </c>
      <c r="G526" s="4">
        <v>40648</v>
      </c>
      <c r="H526" s="3" t="s">
        <v>20</v>
      </c>
      <c r="I526" s="3"/>
      <c r="J526" s="3"/>
      <c r="K526" s="3" t="s">
        <v>2504</v>
      </c>
      <c r="L526" s="3" t="s">
        <v>354</v>
      </c>
      <c r="M526" s="3" t="s">
        <v>2505</v>
      </c>
      <c r="N526" s="3" t="s">
        <v>2506</v>
      </c>
      <c r="O526" s="3" t="s">
        <v>2507</v>
      </c>
      <c r="P526" s="3" t="s">
        <v>25</v>
      </c>
      <c r="Q526" s="3" t="s">
        <v>5141</v>
      </c>
    </row>
    <row r="527" spans="1:17">
      <c r="A527" s="3">
        <v>1593394</v>
      </c>
      <c r="B527" s="3" t="s">
        <v>2508</v>
      </c>
      <c r="C527" s="3" t="str">
        <f>"9781781904237"</f>
        <v>9781781904237</v>
      </c>
      <c r="D527" s="3" t="str">
        <f>"9781781904244"</f>
        <v>9781781904244</v>
      </c>
      <c r="E527" s="3" t="s">
        <v>101</v>
      </c>
      <c r="F527" s="3" t="s">
        <v>101</v>
      </c>
      <c r="G527" s="4">
        <v>41583</v>
      </c>
      <c r="H527" s="3" t="s">
        <v>20</v>
      </c>
      <c r="I527" s="3"/>
      <c r="J527" s="3">
        <v>0</v>
      </c>
      <c r="K527" s="3" t="s">
        <v>2509</v>
      </c>
      <c r="L527" s="3" t="s">
        <v>532</v>
      </c>
      <c r="M527" s="3" t="s">
        <v>2510</v>
      </c>
      <c r="N527" s="3">
        <v>378</v>
      </c>
      <c r="O527" s="3" t="s">
        <v>2511</v>
      </c>
      <c r="P527" s="3" t="s">
        <v>25</v>
      </c>
      <c r="Q527" s="3" t="s">
        <v>5142</v>
      </c>
    </row>
    <row r="528" spans="1:17">
      <c r="A528" s="3">
        <v>1593634</v>
      </c>
      <c r="B528" s="3" t="s">
        <v>2512</v>
      </c>
      <c r="C528" s="3" t="str">
        <f>"9780786432868"</f>
        <v>9780786432868</v>
      </c>
      <c r="D528" s="3" t="str">
        <f>"9780786451975"</f>
        <v>9780786451975</v>
      </c>
      <c r="E528" s="3" t="s">
        <v>828</v>
      </c>
      <c r="F528" s="3" t="s">
        <v>828</v>
      </c>
      <c r="G528" s="4">
        <v>39783</v>
      </c>
      <c r="H528" s="3" t="s">
        <v>20</v>
      </c>
      <c r="I528" s="3">
        <v>1</v>
      </c>
      <c r="J528" s="3"/>
      <c r="K528" s="3" t="s">
        <v>2513</v>
      </c>
      <c r="L528" s="3" t="s">
        <v>1667</v>
      </c>
      <c r="M528" s="3" t="s">
        <v>2514</v>
      </c>
      <c r="N528" s="3" t="s">
        <v>2515</v>
      </c>
      <c r="O528" s="3" t="s">
        <v>2516</v>
      </c>
      <c r="P528" s="3" t="s">
        <v>25</v>
      </c>
      <c r="Q528" s="3" t="s">
        <v>5143</v>
      </c>
    </row>
    <row r="529" spans="1:17">
      <c r="A529" s="3">
        <v>1593665</v>
      </c>
      <c r="B529" s="3" t="s">
        <v>2517</v>
      </c>
      <c r="C529" s="3" t="str">
        <f>"9780786428915"</f>
        <v>9780786428915</v>
      </c>
      <c r="D529" s="3" t="str">
        <f>"9780786451098"</f>
        <v>9780786451098</v>
      </c>
      <c r="E529" s="3" t="s">
        <v>828</v>
      </c>
      <c r="F529" s="3" t="s">
        <v>828</v>
      </c>
      <c r="G529" s="4">
        <v>39417</v>
      </c>
      <c r="H529" s="3" t="s">
        <v>20</v>
      </c>
      <c r="I529" s="3">
        <v>1</v>
      </c>
      <c r="J529" s="3"/>
      <c r="K529" s="3" t="s">
        <v>2518</v>
      </c>
      <c r="L529" s="3" t="s">
        <v>22</v>
      </c>
      <c r="M529" s="3" t="s">
        <v>2519</v>
      </c>
      <c r="N529" s="3" t="s">
        <v>2520</v>
      </c>
      <c r="O529" s="3" t="s">
        <v>2521</v>
      </c>
      <c r="P529" s="3" t="s">
        <v>25</v>
      </c>
      <c r="Q529" s="3" t="s">
        <v>5144</v>
      </c>
    </row>
    <row r="530" spans="1:17">
      <c r="A530" s="3">
        <v>1593670</v>
      </c>
      <c r="B530" s="3" t="s">
        <v>2522</v>
      </c>
      <c r="C530" s="3" t="str">
        <f>"9780786441525"</f>
        <v>9780786441525</v>
      </c>
      <c r="D530" s="3" t="str">
        <f>"9780786455720"</f>
        <v>9780786455720</v>
      </c>
      <c r="E530" s="3" t="s">
        <v>828</v>
      </c>
      <c r="F530" s="3" t="s">
        <v>828</v>
      </c>
      <c r="G530" s="4">
        <v>40513</v>
      </c>
      <c r="H530" s="3" t="s">
        <v>20</v>
      </c>
      <c r="I530" s="3">
        <v>1</v>
      </c>
      <c r="J530" s="3" t="s">
        <v>829</v>
      </c>
      <c r="K530" s="3" t="s">
        <v>2523</v>
      </c>
      <c r="L530" s="3" t="s">
        <v>22</v>
      </c>
      <c r="M530" s="3" t="s">
        <v>2524</v>
      </c>
      <c r="N530" s="3" t="s">
        <v>471</v>
      </c>
      <c r="O530" s="3" t="s">
        <v>2525</v>
      </c>
      <c r="P530" s="3" t="s">
        <v>25</v>
      </c>
      <c r="Q530" s="3" t="s">
        <v>5145</v>
      </c>
    </row>
    <row r="531" spans="1:17">
      <c r="A531" s="3">
        <v>1593680</v>
      </c>
      <c r="B531" s="3" t="s">
        <v>2526</v>
      </c>
      <c r="C531" s="3" t="str">
        <f>"9780786438037"</f>
        <v>9780786438037</v>
      </c>
      <c r="D531" s="3" t="str">
        <f>"9780786451944"</f>
        <v>9780786451944</v>
      </c>
      <c r="E531" s="3" t="s">
        <v>828</v>
      </c>
      <c r="F531" s="3" t="s">
        <v>828</v>
      </c>
      <c r="G531" s="4">
        <v>39674</v>
      </c>
      <c r="H531" s="3" t="s">
        <v>20</v>
      </c>
      <c r="I531" s="3">
        <v>2</v>
      </c>
      <c r="J531" s="3"/>
      <c r="K531" s="3" t="s">
        <v>2527</v>
      </c>
      <c r="L531" s="3" t="s">
        <v>406</v>
      </c>
      <c r="M531" s="3" t="s">
        <v>2528</v>
      </c>
      <c r="N531" s="3" t="s">
        <v>2529</v>
      </c>
      <c r="O531" s="3" t="s">
        <v>2530</v>
      </c>
      <c r="P531" s="3" t="s">
        <v>25</v>
      </c>
      <c r="Q531" s="3" t="s">
        <v>5146</v>
      </c>
    </row>
    <row r="532" spans="1:17">
      <c r="A532" s="3">
        <v>1593685</v>
      </c>
      <c r="B532" s="3" t="s">
        <v>2531</v>
      </c>
      <c r="C532" s="3" t="str">
        <f>"9780786429424"</f>
        <v>9780786429424</v>
      </c>
      <c r="D532" s="3" t="str">
        <f>"9780786451494"</f>
        <v>9780786451494</v>
      </c>
      <c r="E532" s="3" t="s">
        <v>828</v>
      </c>
      <c r="F532" s="3" t="s">
        <v>828</v>
      </c>
      <c r="G532" s="4">
        <v>39600</v>
      </c>
      <c r="H532" s="3" t="s">
        <v>20</v>
      </c>
      <c r="I532" s="3">
        <v>2</v>
      </c>
      <c r="J532" s="3"/>
      <c r="K532" s="3" t="s">
        <v>2532</v>
      </c>
      <c r="L532" s="3" t="s">
        <v>43</v>
      </c>
      <c r="M532" s="3" t="s">
        <v>2533</v>
      </c>
      <c r="N532" s="3">
        <v>791.44097303000001</v>
      </c>
      <c r="O532" s="3" t="s">
        <v>2534</v>
      </c>
      <c r="P532" s="3" t="s">
        <v>25</v>
      </c>
      <c r="Q532" s="3" t="s">
        <v>5147</v>
      </c>
    </row>
    <row r="533" spans="1:17">
      <c r="A533" s="3">
        <v>1593704</v>
      </c>
      <c r="B533" s="3" t="s">
        <v>2535</v>
      </c>
      <c r="C533" s="3" t="str">
        <f>"9780786437122"</f>
        <v>9780786437122</v>
      </c>
      <c r="D533" s="3" t="str">
        <f>"9780786454815"</f>
        <v>9780786454815</v>
      </c>
      <c r="E533" s="3" t="s">
        <v>828</v>
      </c>
      <c r="F533" s="3" t="s">
        <v>828</v>
      </c>
      <c r="G533" s="4">
        <v>40148</v>
      </c>
      <c r="H533" s="3" t="s">
        <v>20</v>
      </c>
      <c r="I533" s="3">
        <v>1</v>
      </c>
      <c r="J533" s="3"/>
      <c r="K533" s="3" t="s">
        <v>922</v>
      </c>
      <c r="L533" s="3" t="s">
        <v>1157</v>
      </c>
      <c r="M533" s="3" t="s">
        <v>2536</v>
      </c>
      <c r="N533" s="3">
        <v>910.3</v>
      </c>
      <c r="O533" s="3" t="s">
        <v>2537</v>
      </c>
      <c r="P533" s="3" t="s">
        <v>25</v>
      </c>
      <c r="Q533" s="3" t="s">
        <v>5148</v>
      </c>
    </row>
    <row r="534" spans="1:17">
      <c r="A534" s="3">
        <v>1593738</v>
      </c>
      <c r="B534" s="3" t="s">
        <v>2538</v>
      </c>
      <c r="C534" s="3" t="str">
        <f>"9780786432639"</f>
        <v>9780786432639</v>
      </c>
      <c r="D534" s="3" t="str">
        <f>"9780786451838"</f>
        <v>9780786451838</v>
      </c>
      <c r="E534" s="3" t="s">
        <v>828</v>
      </c>
      <c r="F534" s="3" t="s">
        <v>828</v>
      </c>
      <c r="G534" s="4">
        <v>39623</v>
      </c>
      <c r="H534" s="3" t="s">
        <v>20</v>
      </c>
      <c r="I534" s="3">
        <v>2</v>
      </c>
      <c r="J534" s="3"/>
      <c r="K534" s="3" t="s">
        <v>2539</v>
      </c>
      <c r="L534" s="3" t="s">
        <v>64</v>
      </c>
      <c r="M534" s="3" t="s">
        <v>2540</v>
      </c>
      <c r="N534" s="3" t="s">
        <v>2541</v>
      </c>
      <c r="O534" s="3" t="s">
        <v>2542</v>
      </c>
      <c r="P534" s="3" t="s">
        <v>25</v>
      </c>
      <c r="Q534" s="3" t="s">
        <v>5149</v>
      </c>
    </row>
    <row r="535" spans="1:17">
      <c r="A535" s="3">
        <v>1593739</v>
      </c>
      <c r="B535" s="3" t="s">
        <v>2543</v>
      </c>
      <c r="C535" s="3" t="str">
        <f>"9780786438389"</f>
        <v>9780786438389</v>
      </c>
      <c r="D535" s="3" t="str">
        <f>"9780786452910"</f>
        <v>9780786452910</v>
      </c>
      <c r="E535" s="3" t="s">
        <v>828</v>
      </c>
      <c r="F535" s="3" t="s">
        <v>828</v>
      </c>
      <c r="G535" s="4">
        <v>39717</v>
      </c>
      <c r="H535" s="3" t="s">
        <v>20</v>
      </c>
      <c r="I535" s="3">
        <v>2</v>
      </c>
      <c r="J535" s="3"/>
      <c r="K535" s="3" t="s">
        <v>2544</v>
      </c>
      <c r="L535" s="3" t="s">
        <v>64</v>
      </c>
      <c r="M535" s="3" t="s">
        <v>2545</v>
      </c>
      <c r="N535" s="3" t="s">
        <v>2546</v>
      </c>
      <c r="O535" s="3" t="s">
        <v>2547</v>
      </c>
      <c r="P535" s="3" t="s">
        <v>25</v>
      </c>
      <c r="Q535" s="3" t="s">
        <v>5150</v>
      </c>
    </row>
    <row r="536" spans="1:17">
      <c r="A536" s="3">
        <v>1594580</v>
      </c>
      <c r="B536" s="3" t="s">
        <v>2548</v>
      </c>
      <c r="C536" s="3" t="str">
        <f>"9780786441655"</f>
        <v>9780786441655</v>
      </c>
      <c r="D536" s="3" t="str">
        <f>"9780786454754"</f>
        <v>9780786454754</v>
      </c>
      <c r="E536" s="3" t="s">
        <v>828</v>
      </c>
      <c r="F536" s="3" t="s">
        <v>828</v>
      </c>
      <c r="G536" s="4">
        <v>40148</v>
      </c>
      <c r="H536" s="3" t="s">
        <v>20</v>
      </c>
      <c r="I536" s="3">
        <v>1</v>
      </c>
      <c r="J536" s="3"/>
      <c r="K536" s="3" t="s">
        <v>2549</v>
      </c>
      <c r="L536" s="3" t="s">
        <v>22</v>
      </c>
      <c r="M536" s="3" t="s">
        <v>2550</v>
      </c>
      <c r="N536" s="3">
        <v>813</v>
      </c>
      <c r="O536" s="3" t="s">
        <v>2551</v>
      </c>
      <c r="P536" s="3" t="s">
        <v>25</v>
      </c>
      <c r="Q536" s="3" t="s">
        <v>5151</v>
      </c>
    </row>
    <row r="537" spans="1:17">
      <c r="A537" s="3">
        <v>1594591</v>
      </c>
      <c r="B537" s="3" t="s">
        <v>2552</v>
      </c>
      <c r="C537" s="3" t="str">
        <f>"9780786437900"</f>
        <v>9780786437900</v>
      </c>
      <c r="D537" s="3" t="str">
        <f>"9780786458042"</f>
        <v>9780786458042</v>
      </c>
      <c r="E537" s="3" t="s">
        <v>828</v>
      </c>
      <c r="F537" s="3" t="s">
        <v>828</v>
      </c>
      <c r="G537" s="4">
        <v>40116</v>
      </c>
      <c r="H537" s="3" t="s">
        <v>20</v>
      </c>
      <c r="I537" s="3">
        <v>1</v>
      </c>
      <c r="J537" s="3"/>
      <c r="K537" s="3" t="s">
        <v>2553</v>
      </c>
      <c r="L537" s="3" t="s">
        <v>43</v>
      </c>
      <c r="M537" s="3" t="s">
        <v>2554</v>
      </c>
      <c r="N537" s="3" t="s">
        <v>2555</v>
      </c>
      <c r="O537" s="3" t="s">
        <v>2556</v>
      </c>
      <c r="P537" s="3" t="s">
        <v>25</v>
      </c>
      <c r="Q537" s="3" t="s">
        <v>5152</v>
      </c>
    </row>
    <row r="538" spans="1:17">
      <c r="A538" s="3">
        <v>1594609</v>
      </c>
      <c r="B538" s="3" t="s">
        <v>2557</v>
      </c>
      <c r="C538" s="3" t="str">
        <f>"9780786473724"</f>
        <v>9780786473724</v>
      </c>
      <c r="D538" s="3" t="str">
        <f>"9781476603698"</f>
        <v>9781476603698</v>
      </c>
      <c r="E538" s="3" t="s">
        <v>828</v>
      </c>
      <c r="F538" s="3" t="s">
        <v>828</v>
      </c>
      <c r="G538" s="4">
        <v>41625</v>
      </c>
      <c r="H538" s="3" t="s">
        <v>20</v>
      </c>
      <c r="I538" s="3">
        <v>1</v>
      </c>
      <c r="J538" s="3"/>
      <c r="K538" s="3" t="s">
        <v>2558</v>
      </c>
      <c r="L538" s="3" t="s">
        <v>58</v>
      </c>
      <c r="M538" s="3" t="s">
        <v>2559</v>
      </c>
      <c r="N538" s="3">
        <v>943.08600000000001</v>
      </c>
      <c r="O538" s="3" t="s">
        <v>2560</v>
      </c>
      <c r="P538" s="3" t="s">
        <v>25</v>
      </c>
      <c r="Q538" s="3" t="s">
        <v>5153</v>
      </c>
    </row>
    <row r="539" spans="1:17">
      <c r="A539" s="3">
        <v>1594680</v>
      </c>
      <c r="B539" s="3" t="s">
        <v>2561</v>
      </c>
      <c r="C539" s="3" t="str">
        <f>"9780786434480"</f>
        <v>9780786434480</v>
      </c>
      <c r="D539" s="3" t="str">
        <f>"9780786453092"</f>
        <v>9780786453092</v>
      </c>
      <c r="E539" s="3" t="s">
        <v>828</v>
      </c>
      <c r="F539" s="3" t="s">
        <v>828</v>
      </c>
      <c r="G539" s="4">
        <v>40148</v>
      </c>
      <c r="H539" s="3" t="s">
        <v>20</v>
      </c>
      <c r="I539" s="3">
        <v>1</v>
      </c>
      <c r="J539" s="3"/>
      <c r="K539" s="3" t="s">
        <v>1860</v>
      </c>
      <c r="L539" s="3" t="s">
        <v>43</v>
      </c>
      <c r="M539" s="3" t="s">
        <v>2562</v>
      </c>
      <c r="N539" s="3" t="s">
        <v>2563</v>
      </c>
      <c r="O539" s="3" t="s">
        <v>2564</v>
      </c>
      <c r="P539" s="3" t="s">
        <v>25</v>
      </c>
      <c r="Q539" s="3" t="s">
        <v>5154</v>
      </c>
    </row>
    <row r="540" spans="1:17">
      <c r="A540" s="3">
        <v>1594694</v>
      </c>
      <c r="B540" s="3" t="s">
        <v>2565</v>
      </c>
      <c r="C540" s="3" t="str">
        <f>"9780786443796"</f>
        <v>9780786443796</v>
      </c>
      <c r="D540" s="3" t="str">
        <f>"9780786454594"</f>
        <v>9780786454594</v>
      </c>
      <c r="E540" s="3" t="s">
        <v>828</v>
      </c>
      <c r="F540" s="3" t="s">
        <v>828</v>
      </c>
      <c r="G540" s="4">
        <v>40148</v>
      </c>
      <c r="H540" s="3" t="s">
        <v>20</v>
      </c>
      <c r="I540" s="3">
        <v>1</v>
      </c>
      <c r="J540" s="3"/>
      <c r="K540" s="3" t="s">
        <v>1209</v>
      </c>
      <c r="L540" s="3" t="s">
        <v>58</v>
      </c>
      <c r="M540" s="3" t="s">
        <v>2566</v>
      </c>
      <c r="N540" s="3">
        <v>973.30921999999998</v>
      </c>
      <c r="O540" s="3" t="s">
        <v>2567</v>
      </c>
      <c r="P540" s="3" t="s">
        <v>25</v>
      </c>
      <c r="Q540" s="3" t="s">
        <v>5155</v>
      </c>
    </row>
    <row r="541" spans="1:17">
      <c r="A541" s="3">
        <v>1594711</v>
      </c>
      <c r="B541" s="3" t="s">
        <v>2568</v>
      </c>
      <c r="C541" s="3" t="str">
        <f>"9780786432943"</f>
        <v>9780786432943</v>
      </c>
      <c r="D541" s="3" t="str">
        <f>"9780786451128"</f>
        <v>9780786451128</v>
      </c>
      <c r="E541" s="3" t="s">
        <v>828</v>
      </c>
      <c r="F541" s="3" t="s">
        <v>828</v>
      </c>
      <c r="G541" s="4">
        <v>39351</v>
      </c>
      <c r="H541" s="3" t="s">
        <v>20</v>
      </c>
      <c r="I541" s="3">
        <v>2</v>
      </c>
      <c r="J541" s="3"/>
      <c r="K541" s="3" t="s">
        <v>2569</v>
      </c>
      <c r="L541" s="3" t="s">
        <v>406</v>
      </c>
      <c r="M541" s="3" t="s">
        <v>2570</v>
      </c>
      <c r="N541" s="3">
        <v>796.04409701999998</v>
      </c>
      <c r="O541" s="3" t="s">
        <v>2571</v>
      </c>
      <c r="P541" s="3" t="s">
        <v>25</v>
      </c>
      <c r="Q541" s="3" t="s">
        <v>5156</v>
      </c>
    </row>
    <row r="542" spans="1:17">
      <c r="A542" s="3">
        <v>1594728</v>
      </c>
      <c r="B542" s="3" t="s">
        <v>2572</v>
      </c>
      <c r="C542" s="3" t="str">
        <f>"9780786438280"</f>
        <v>9780786438280</v>
      </c>
      <c r="D542" s="3" t="str">
        <f>"9780786454525"</f>
        <v>9780786454525</v>
      </c>
      <c r="E542" s="3" t="s">
        <v>828</v>
      </c>
      <c r="F542" s="3" t="s">
        <v>828</v>
      </c>
      <c r="G542" s="4">
        <v>40148</v>
      </c>
      <c r="H542" s="3" t="s">
        <v>20</v>
      </c>
      <c r="I542" s="3">
        <v>1</v>
      </c>
      <c r="J542" s="3"/>
      <c r="K542" s="3" t="s">
        <v>2573</v>
      </c>
      <c r="L542" s="3" t="s">
        <v>43</v>
      </c>
      <c r="M542" s="3" t="s">
        <v>2574</v>
      </c>
      <c r="N542" s="3" t="s">
        <v>2575</v>
      </c>
      <c r="O542" s="3" t="s">
        <v>2576</v>
      </c>
      <c r="P542" s="3" t="s">
        <v>25</v>
      </c>
      <c r="Q542" s="3" t="s">
        <v>5157</v>
      </c>
    </row>
    <row r="543" spans="1:17">
      <c r="A543" s="3">
        <v>1594747</v>
      </c>
      <c r="B543" s="3" t="s">
        <v>2577</v>
      </c>
      <c r="C543" s="3" t="str">
        <f>"9780786434015"</f>
        <v>9780786434015</v>
      </c>
      <c r="D543" s="3" t="str">
        <f>"9780786456598"</f>
        <v>9780786456598</v>
      </c>
      <c r="E543" s="3" t="s">
        <v>828</v>
      </c>
      <c r="F543" s="3" t="s">
        <v>828</v>
      </c>
      <c r="G543" s="4">
        <v>40513</v>
      </c>
      <c r="H543" s="3" t="s">
        <v>20</v>
      </c>
      <c r="I543" s="3">
        <v>1</v>
      </c>
      <c r="J543" s="3" t="s">
        <v>829</v>
      </c>
      <c r="K543" s="3" t="s">
        <v>2578</v>
      </c>
      <c r="L543" s="3" t="s">
        <v>22</v>
      </c>
      <c r="M543" s="3" t="s">
        <v>2579</v>
      </c>
      <c r="N543" s="3" t="s">
        <v>2580</v>
      </c>
      <c r="O543" s="3" t="s">
        <v>2581</v>
      </c>
      <c r="P543" s="3" t="s">
        <v>25</v>
      </c>
      <c r="Q543" s="3" t="s">
        <v>5158</v>
      </c>
    </row>
    <row r="544" spans="1:17">
      <c r="A544" s="3">
        <v>1594749</v>
      </c>
      <c r="B544" s="3" t="s">
        <v>2582</v>
      </c>
      <c r="C544" s="3" t="str">
        <f>"9780786433995"</f>
        <v>9780786433995</v>
      </c>
      <c r="D544" s="3" t="str">
        <f>"9780786457311"</f>
        <v>9780786457311</v>
      </c>
      <c r="E544" s="3" t="s">
        <v>828</v>
      </c>
      <c r="F544" s="3" t="s">
        <v>828</v>
      </c>
      <c r="G544" s="4">
        <v>40513</v>
      </c>
      <c r="H544" s="3" t="s">
        <v>20</v>
      </c>
      <c r="I544" s="3">
        <v>1</v>
      </c>
      <c r="J544" s="3"/>
      <c r="K544" s="3" t="s">
        <v>2583</v>
      </c>
      <c r="L544" s="3" t="s">
        <v>43</v>
      </c>
      <c r="M544" s="3" t="s">
        <v>2584</v>
      </c>
      <c r="N544" s="3">
        <v>792.6</v>
      </c>
      <c r="O544" s="3" t="s">
        <v>2585</v>
      </c>
      <c r="P544" s="3" t="s">
        <v>25</v>
      </c>
      <c r="Q544" s="3" t="s">
        <v>5159</v>
      </c>
    </row>
    <row r="545" spans="1:17">
      <c r="A545" s="3">
        <v>1594823</v>
      </c>
      <c r="B545" s="3" t="s">
        <v>2586</v>
      </c>
      <c r="C545" s="3" t="str">
        <f>"9780786442669"</f>
        <v>9780786442669</v>
      </c>
      <c r="D545" s="3" t="str">
        <f>"9780786453429"</f>
        <v>9780786453429</v>
      </c>
      <c r="E545" s="3" t="s">
        <v>828</v>
      </c>
      <c r="F545" s="3" t="s">
        <v>828</v>
      </c>
      <c r="G545" s="4">
        <v>40148</v>
      </c>
      <c r="H545" s="3" t="s">
        <v>20</v>
      </c>
      <c r="I545" s="3">
        <v>1</v>
      </c>
      <c r="J545" s="3"/>
      <c r="K545" s="3" t="s">
        <v>2587</v>
      </c>
      <c r="L545" s="3" t="s">
        <v>2588</v>
      </c>
      <c r="M545" s="3" t="s">
        <v>2589</v>
      </c>
      <c r="N545" s="3">
        <v>623.803</v>
      </c>
      <c r="O545" s="3" t="s">
        <v>2590</v>
      </c>
      <c r="P545" s="3" t="s">
        <v>25</v>
      </c>
      <c r="Q545" s="3" t="s">
        <v>5160</v>
      </c>
    </row>
    <row r="546" spans="1:17">
      <c r="A546" s="3">
        <v>1596841</v>
      </c>
      <c r="B546" s="3" t="s">
        <v>2591</v>
      </c>
      <c r="C546" s="3" t="str">
        <f>"9789004154612"</f>
        <v>9789004154612</v>
      </c>
      <c r="D546" s="3" t="str">
        <f>"9789004217089"</f>
        <v>9789004217089</v>
      </c>
      <c r="E546" s="3" t="s">
        <v>611</v>
      </c>
      <c r="F546" s="3" t="s">
        <v>611</v>
      </c>
      <c r="G546" s="4">
        <v>41621</v>
      </c>
      <c r="H546" s="3" t="s">
        <v>20</v>
      </c>
      <c r="I546" s="3">
        <v>1</v>
      </c>
      <c r="J546" s="3" t="s">
        <v>2128</v>
      </c>
      <c r="K546" s="3" t="s">
        <v>2592</v>
      </c>
      <c r="L546" s="3" t="s">
        <v>2593</v>
      </c>
      <c r="M546" s="3" t="s">
        <v>2594</v>
      </c>
      <c r="N546" s="3">
        <v>188</v>
      </c>
      <c r="O546" s="3"/>
      <c r="P546" s="3" t="s">
        <v>25</v>
      </c>
      <c r="Q546" s="3" t="s">
        <v>5161</v>
      </c>
    </row>
    <row r="547" spans="1:17">
      <c r="A547" s="3">
        <v>1597584</v>
      </c>
      <c r="B547" s="3" t="s">
        <v>2595</v>
      </c>
      <c r="C547" s="3" t="str">
        <f>"9783110341164"</f>
        <v>9783110341164</v>
      </c>
      <c r="D547" s="3" t="str">
        <f>"9783110341287"</f>
        <v>9783110341287</v>
      </c>
      <c r="E547" s="3" t="s">
        <v>2111</v>
      </c>
      <c r="F547" s="3" t="s">
        <v>2112</v>
      </c>
      <c r="G547" s="4">
        <v>41729</v>
      </c>
      <c r="H547" s="3" t="s">
        <v>20</v>
      </c>
      <c r="I547" s="3"/>
      <c r="J547" s="3" t="s">
        <v>2596</v>
      </c>
      <c r="K547" s="3" t="s">
        <v>2597</v>
      </c>
      <c r="L547" s="3" t="s">
        <v>504</v>
      </c>
      <c r="M547" s="3" t="s">
        <v>2598</v>
      </c>
      <c r="N547" s="3">
        <v>423</v>
      </c>
      <c r="O547" s="3" t="s">
        <v>2599</v>
      </c>
      <c r="P547" s="3" t="s">
        <v>25</v>
      </c>
      <c r="Q547" s="3" t="s">
        <v>5162</v>
      </c>
    </row>
    <row r="548" spans="1:17">
      <c r="A548" s="3">
        <v>1602504</v>
      </c>
      <c r="B548" s="3" t="s">
        <v>2600</v>
      </c>
      <c r="C548" s="3" t="str">
        <f>"9780814787168"</f>
        <v>9780814787168</v>
      </c>
      <c r="D548" s="3" t="str">
        <f>"9781479880423"</f>
        <v>9781479880423</v>
      </c>
      <c r="E548" s="3" t="s">
        <v>1683</v>
      </c>
      <c r="F548" s="3" t="s">
        <v>1683</v>
      </c>
      <c r="G548" s="4">
        <v>41684</v>
      </c>
      <c r="H548" s="3" t="s">
        <v>20</v>
      </c>
      <c r="I548" s="3">
        <v>1</v>
      </c>
      <c r="J548" s="3"/>
      <c r="K548" s="3" t="s">
        <v>2601</v>
      </c>
      <c r="L548" s="3" t="s">
        <v>2602</v>
      </c>
      <c r="M548" s="3" t="s">
        <v>2603</v>
      </c>
      <c r="N548" s="3">
        <v>621.87699999999995</v>
      </c>
      <c r="O548" s="3" t="s">
        <v>2604</v>
      </c>
      <c r="P548" s="3" t="s">
        <v>25</v>
      </c>
      <c r="Q548" s="3" t="s">
        <v>5163</v>
      </c>
    </row>
    <row r="549" spans="1:17">
      <c r="A549" s="3">
        <v>1611704</v>
      </c>
      <c r="B549" s="3" t="s">
        <v>2605</v>
      </c>
      <c r="C549" s="3" t="str">
        <f>"9780814777053"</f>
        <v>9780814777053</v>
      </c>
      <c r="D549" s="3" t="str">
        <f>"9780814777077"</f>
        <v>9780814777077</v>
      </c>
      <c r="E549" s="3" t="s">
        <v>1683</v>
      </c>
      <c r="F549" s="3" t="s">
        <v>1683</v>
      </c>
      <c r="G549" s="4">
        <v>41705</v>
      </c>
      <c r="H549" s="3" t="s">
        <v>20</v>
      </c>
      <c r="I549" s="3">
        <v>1</v>
      </c>
      <c r="J549" s="3" t="s">
        <v>2606</v>
      </c>
      <c r="K549" s="3" t="s">
        <v>2607</v>
      </c>
      <c r="L549" s="3" t="s">
        <v>317</v>
      </c>
      <c r="M549" s="3" t="s">
        <v>2608</v>
      </c>
      <c r="N549" s="3">
        <v>616.89</v>
      </c>
      <c r="O549" s="3" t="s">
        <v>2609</v>
      </c>
      <c r="P549" s="3" t="s">
        <v>25</v>
      </c>
      <c r="Q549" s="3" t="s">
        <v>5164</v>
      </c>
    </row>
    <row r="550" spans="1:17">
      <c r="A550" s="3">
        <v>1630550</v>
      </c>
      <c r="B550" s="3" t="s">
        <v>2610</v>
      </c>
      <c r="C550" s="3" t="str">
        <f>"9780814796290"</f>
        <v>9780814796290</v>
      </c>
      <c r="D550" s="3" t="str">
        <f>"9780814764367"</f>
        <v>9780814764367</v>
      </c>
      <c r="E550" s="3" t="s">
        <v>1683</v>
      </c>
      <c r="F550" s="3" t="s">
        <v>1683</v>
      </c>
      <c r="G550" s="4">
        <v>41730</v>
      </c>
      <c r="H550" s="3" t="s">
        <v>20</v>
      </c>
      <c r="I550" s="3">
        <v>1</v>
      </c>
      <c r="J550" s="3"/>
      <c r="K550" s="3" t="s">
        <v>2611</v>
      </c>
      <c r="L550" s="3" t="s">
        <v>616</v>
      </c>
      <c r="M550" s="3"/>
      <c r="N550" s="3" t="s">
        <v>2612</v>
      </c>
      <c r="O550" s="3"/>
      <c r="P550" s="3" t="s">
        <v>25</v>
      </c>
      <c r="Q550" s="3" t="s">
        <v>5165</v>
      </c>
    </row>
    <row r="551" spans="1:17">
      <c r="A551" s="3">
        <v>1630551</v>
      </c>
      <c r="B551" s="3" t="s">
        <v>2613</v>
      </c>
      <c r="C551" s="3" t="str">
        <f>"9780814762790"</f>
        <v>9780814762790</v>
      </c>
      <c r="D551" s="3" t="str">
        <f>"9780814770153"</f>
        <v>9780814770153</v>
      </c>
      <c r="E551" s="3" t="s">
        <v>1683</v>
      </c>
      <c r="F551" s="3" t="s">
        <v>1683</v>
      </c>
      <c r="G551" s="4">
        <v>41726</v>
      </c>
      <c r="H551" s="3" t="s">
        <v>20</v>
      </c>
      <c r="I551" s="3">
        <v>1</v>
      </c>
      <c r="J551" s="3" t="s">
        <v>2066</v>
      </c>
      <c r="K551" s="3" t="s">
        <v>2614</v>
      </c>
      <c r="L551" s="3" t="s">
        <v>64</v>
      </c>
      <c r="M551" s="3" t="s">
        <v>2615</v>
      </c>
      <c r="N551" s="3">
        <v>302.23</v>
      </c>
      <c r="O551" s="3" t="s">
        <v>2616</v>
      </c>
      <c r="P551" s="3" t="s">
        <v>25</v>
      </c>
      <c r="Q551" s="3" t="s">
        <v>5166</v>
      </c>
    </row>
    <row r="552" spans="1:17">
      <c r="A552" s="3">
        <v>1630554</v>
      </c>
      <c r="B552" s="3" t="s">
        <v>2617</v>
      </c>
      <c r="C552" s="3" t="str">
        <f>"9780199379804"</f>
        <v>9780199379804</v>
      </c>
      <c r="D552" s="3" t="str">
        <f>"9780199379811"</f>
        <v>9780199379811</v>
      </c>
      <c r="E552" s="3" t="s">
        <v>910</v>
      </c>
      <c r="F552" s="3" t="s">
        <v>910</v>
      </c>
      <c r="G552" s="4">
        <v>41730</v>
      </c>
      <c r="H552" s="3" t="s">
        <v>20</v>
      </c>
      <c r="I552" s="3"/>
      <c r="J552" s="3" t="s">
        <v>1423</v>
      </c>
      <c r="K552" s="3" t="s">
        <v>2618</v>
      </c>
      <c r="L552" s="3" t="s">
        <v>118</v>
      </c>
      <c r="M552" s="3" t="s">
        <v>2619</v>
      </c>
      <c r="N552" s="3">
        <v>282</v>
      </c>
      <c r="O552" s="3" t="s">
        <v>2620</v>
      </c>
      <c r="P552" s="3" t="s">
        <v>25</v>
      </c>
      <c r="Q552" s="3" t="s">
        <v>5167</v>
      </c>
    </row>
    <row r="553" spans="1:17">
      <c r="A553" s="3">
        <v>1630555</v>
      </c>
      <c r="B553" s="3" t="s">
        <v>2621</v>
      </c>
      <c r="C553" s="3" t="str">
        <f>"9780199587186"</f>
        <v>9780199587186</v>
      </c>
      <c r="D553" s="3" t="str">
        <f>"9780191030109"</f>
        <v>9780191030109</v>
      </c>
      <c r="E553" s="3" t="s">
        <v>1656</v>
      </c>
      <c r="F553" s="3" t="s">
        <v>1656</v>
      </c>
      <c r="G553" s="4">
        <v>40861</v>
      </c>
      <c r="H553" s="3" t="s">
        <v>20</v>
      </c>
      <c r="I553" s="3">
        <v>3</v>
      </c>
      <c r="J553" s="3" t="s">
        <v>2622</v>
      </c>
      <c r="K553" s="3" t="s">
        <v>2623</v>
      </c>
      <c r="L553" s="3" t="s">
        <v>204</v>
      </c>
      <c r="M553" s="3" t="s">
        <v>2624</v>
      </c>
      <c r="N553" s="3" t="s">
        <v>2625</v>
      </c>
      <c r="O553" s="3" t="s">
        <v>2626</v>
      </c>
      <c r="P553" s="3" t="s">
        <v>25</v>
      </c>
      <c r="Q553" s="3" t="s">
        <v>5168</v>
      </c>
    </row>
    <row r="554" spans="1:17">
      <c r="A554" s="3">
        <v>1632822</v>
      </c>
      <c r="B554" s="3" t="s">
        <v>2627</v>
      </c>
      <c r="C554" s="3" t="str">
        <f>"9780826197825"</f>
        <v>9780826197825</v>
      </c>
      <c r="D554" s="3" t="str">
        <f>"9780826168757"</f>
        <v>9780826168757</v>
      </c>
      <c r="E554" s="3" t="s">
        <v>496</v>
      </c>
      <c r="F554" s="3" t="s">
        <v>496</v>
      </c>
      <c r="G554" s="4">
        <v>41680</v>
      </c>
      <c r="H554" s="3" t="s">
        <v>20</v>
      </c>
      <c r="I554" s="3">
        <v>3</v>
      </c>
      <c r="J554" s="3"/>
      <c r="K554" s="3" t="s">
        <v>2628</v>
      </c>
      <c r="L554" s="3" t="s">
        <v>2276</v>
      </c>
      <c r="M554" s="3" t="s">
        <v>2629</v>
      </c>
      <c r="N554" s="3">
        <v>610.73</v>
      </c>
      <c r="O554" s="3" t="s">
        <v>2630</v>
      </c>
      <c r="P554" s="3" t="s">
        <v>25</v>
      </c>
      <c r="Q554" s="3" t="s">
        <v>5169</v>
      </c>
    </row>
    <row r="555" spans="1:17">
      <c r="A555" s="3">
        <v>1636277</v>
      </c>
      <c r="B555" s="3" t="s">
        <v>2631</v>
      </c>
      <c r="C555" s="3" t="str">
        <f>"9780814762899"</f>
        <v>9780814762899</v>
      </c>
      <c r="D555" s="3" t="str">
        <f>"9780814770788"</f>
        <v>9780814770788</v>
      </c>
      <c r="E555" s="3" t="s">
        <v>1683</v>
      </c>
      <c r="F555" s="3" t="s">
        <v>1683</v>
      </c>
      <c r="G555" s="4">
        <v>41733</v>
      </c>
      <c r="H555" s="3" t="s">
        <v>20</v>
      </c>
      <c r="I555" s="3">
        <v>1</v>
      </c>
      <c r="J555" s="3" t="s">
        <v>2066</v>
      </c>
      <c r="K555" s="3" t="s">
        <v>2632</v>
      </c>
      <c r="L555" s="3" t="s">
        <v>64</v>
      </c>
      <c r="M555" s="3" t="s">
        <v>2633</v>
      </c>
      <c r="N555" s="3">
        <v>302.23097300000001</v>
      </c>
      <c r="O555" s="3" t="s">
        <v>2634</v>
      </c>
      <c r="P555" s="3" t="s">
        <v>25</v>
      </c>
      <c r="Q555" s="3" t="s">
        <v>5170</v>
      </c>
    </row>
    <row r="556" spans="1:17">
      <c r="A556" s="3">
        <v>1641590</v>
      </c>
      <c r="B556" s="3" t="s">
        <v>2635</v>
      </c>
      <c r="C556" s="3" t="str">
        <f>"9781608076994"</f>
        <v>9781608076994</v>
      </c>
      <c r="D556" s="3" t="str">
        <f>"9781608077007"</f>
        <v>9781608077007</v>
      </c>
      <c r="E556" s="3" t="s">
        <v>2473</v>
      </c>
      <c r="F556" s="3" t="s">
        <v>2473</v>
      </c>
      <c r="G556" s="4">
        <v>41699</v>
      </c>
      <c r="H556" s="3" t="s">
        <v>20</v>
      </c>
      <c r="I556" s="3">
        <v>1</v>
      </c>
      <c r="J556" s="3"/>
      <c r="K556" s="3" t="s">
        <v>2636</v>
      </c>
      <c r="L556" s="3" t="s">
        <v>2637</v>
      </c>
      <c r="M556" s="3" t="s">
        <v>2638</v>
      </c>
      <c r="N556" s="3">
        <v>621.38400000000001</v>
      </c>
      <c r="O556" s="3" t="s">
        <v>2639</v>
      </c>
      <c r="P556" s="3" t="s">
        <v>25</v>
      </c>
      <c r="Q556" s="3" t="s">
        <v>5171</v>
      </c>
    </row>
    <row r="557" spans="1:17">
      <c r="A557" s="3">
        <v>1643911</v>
      </c>
      <c r="B557" s="3" t="s">
        <v>2640</v>
      </c>
      <c r="C557" s="3" t="str">
        <f>"9780786478484"</f>
        <v>9780786478484</v>
      </c>
      <c r="D557" s="3" t="str">
        <f>"9781476615653"</f>
        <v>9781476615653</v>
      </c>
      <c r="E557" s="3" t="s">
        <v>828</v>
      </c>
      <c r="F557" s="3" t="s">
        <v>828</v>
      </c>
      <c r="G557" s="4">
        <v>41773</v>
      </c>
      <c r="H557" s="3" t="s">
        <v>20</v>
      </c>
      <c r="I557" s="3">
        <v>1</v>
      </c>
      <c r="J557" s="3"/>
      <c r="K557" s="3" t="s">
        <v>953</v>
      </c>
      <c r="L557" s="3" t="s">
        <v>64</v>
      </c>
      <c r="M557" s="3" t="s">
        <v>2641</v>
      </c>
      <c r="N557" s="3" t="s">
        <v>2642</v>
      </c>
      <c r="O557" s="3" t="s">
        <v>2643</v>
      </c>
      <c r="P557" s="3" t="s">
        <v>25</v>
      </c>
      <c r="Q557" s="3" t="s">
        <v>5172</v>
      </c>
    </row>
    <row r="558" spans="1:17">
      <c r="A558" s="3">
        <v>1653007</v>
      </c>
      <c r="B558" s="3" t="s">
        <v>2644</v>
      </c>
      <c r="C558" s="3" t="str">
        <f>"9781622750849"</f>
        <v>9781622750849</v>
      </c>
      <c r="D558" s="3" t="str">
        <f>"9781622750856"</f>
        <v>9781622750856</v>
      </c>
      <c r="E558" s="3" t="s">
        <v>983</v>
      </c>
      <c r="F558" s="3" t="s">
        <v>984</v>
      </c>
      <c r="G558" s="4">
        <v>41623</v>
      </c>
      <c r="H558" s="3" t="s">
        <v>20</v>
      </c>
      <c r="I558" s="3">
        <v>1</v>
      </c>
      <c r="J558" s="3" t="s">
        <v>2645</v>
      </c>
      <c r="K558" s="3" t="s">
        <v>2646</v>
      </c>
      <c r="L558" s="3" t="s">
        <v>22</v>
      </c>
      <c r="M558" s="3" t="s">
        <v>2647</v>
      </c>
      <c r="N558" s="3" t="s">
        <v>2648</v>
      </c>
      <c r="O558" s="3" t="s">
        <v>2649</v>
      </c>
      <c r="P558" s="3" t="s">
        <v>25</v>
      </c>
      <c r="Q558" s="3" t="s">
        <v>5173</v>
      </c>
    </row>
    <row r="559" spans="1:17">
      <c r="A559" s="3">
        <v>1653008</v>
      </c>
      <c r="B559" s="3" t="s">
        <v>2650</v>
      </c>
      <c r="C559" s="3" t="str">
        <f>"9781622750863"</f>
        <v>9781622750863</v>
      </c>
      <c r="D559" s="3" t="str">
        <f>"9781622750870"</f>
        <v>9781622750870</v>
      </c>
      <c r="E559" s="3" t="s">
        <v>983</v>
      </c>
      <c r="F559" s="3" t="s">
        <v>984</v>
      </c>
      <c r="G559" s="4">
        <v>41623</v>
      </c>
      <c r="H559" s="3" t="s">
        <v>20</v>
      </c>
      <c r="I559" s="3">
        <v>1</v>
      </c>
      <c r="J559" s="3" t="s">
        <v>2645</v>
      </c>
      <c r="K559" s="3" t="s">
        <v>2651</v>
      </c>
      <c r="L559" s="3" t="s">
        <v>22</v>
      </c>
      <c r="M559" s="3" t="s">
        <v>2652</v>
      </c>
      <c r="N559" s="3" t="s">
        <v>2653</v>
      </c>
      <c r="O559" s="3" t="s">
        <v>2654</v>
      </c>
      <c r="P559" s="3" t="s">
        <v>25</v>
      </c>
      <c r="Q559" s="3" t="s">
        <v>5174</v>
      </c>
    </row>
    <row r="560" spans="1:17">
      <c r="A560" s="3">
        <v>1653011</v>
      </c>
      <c r="B560" s="3" t="s">
        <v>2655</v>
      </c>
      <c r="C560" s="3" t="str">
        <f>"9781622750924"</f>
        <v>9781622750924</v>
      </c>
      <c r="D560" s="3" t="str">
        <f>"9781622750931"</f>
        <v>9781622750931</v>
      </c>
      <c r="E560" s="3" t="s">
        <v>983</v>
      </c>
      <c r="F560" s="3" t="s">
        <v>984</v>
      </c>
      <c r="G560" s="4">
        <v>41623</v>
      </c>
      <c r="H560" s="3" t="s">
        <v>20</v>
      </c>
      <c r="I560" s="3">
        <v>1</v>
      </c>
      <c r="J560" s="3" t="s">
        <v>2645</v>
      </c>
      <c r="K560" s="3" t="s">
        <v>2646</v>
      </c>
      <c r="L560" s="3" t="s">
        <v>22</v>
      </c>
      <c r="M560" s="3" t="s">
        <v>2656</v>
      </c>
      <c r="N560" s="3">
        <v>809</v>
      </c>
      <c r="O560" s="3" t="s">
        <v>2657</v>
      </c>
      <c r="P560" s="3" t="s">
        <v>25</v>
      </c>
      <c r="Q560" s="3" t="s">
        <v>5175</v>
      </c>
    </row>
    <row r="561" spans="1:17">
      <c r="A561" s="3">
        <v>1653012</v>
      </c>
      <c r="B561" s="3" t="s">
        <v>2658</v>
      </c>
      <c r="C561" s="3" t="str">
        <f>"9781622750948"</f>
        <v>9781622750948</v>
      </c>
      <c r="D561" s="3" t="str">
        <f>"9781622750955"</f>
        <v>9781622750955</v>
      </c>
      <c r="E561" s="3" t="s">
        <v>983</v>
      </c>
      <c r="F561" s="3" t="s">
        <v>984</v>
      </c>
      <c r="G561" s="4">
        <v>41623</v>
      </c>
      <c r="H561" s="3" t="s">
        <v>20</v>
      </c>
      <c r="I561" s="3">
        <v>1</v>
      </c>
      <c r="J561" s="3" t="s">
        <v>2645</v>
      </c>
      <c r="K561" s="3" t="s">
        <v>2646</v>
      </c>
      <c r="L561" s="3" t="s">
        <v>22</v>
      </c>
      <c r="M561" s="3" t="s">
        <v>2659</v>
      </c>
      <c r="N561" s="3" t="s">
        <v>2660</v>
      </c>
      <c r="O561" s="3" t="s">
        <v>2661</v>
      </c>
      <c r="P561" s="3" t="s">
        <v>25</v>
      </c>
      <c r="Q561" s="3" t="s">
        <v>5176</v>
      </c>
    </row>
    <row r="562" spans="1:17">
      <c r="A562" s="3">
        <v>1653013</v>
      </c>
      <c r="B562" s="3" t="s">
        <v>2662</v>
      </c>
      <c r="C562" s="3" t="str">
        <f>"9781622750962"</f>
        <v>9781622750962</v>
      </c>
      <c r="D562" s="3" t="str">
        <f>"9781622750979"</f>
        <v>9781622750979</v>
      </c>
      <c r="E562" s="3" t="s">
        <v>983</v>
      </c>
      <c r="F562" s="3" t="s">
        <v>984</v>
      </c>
      <c r="G562" s="4">
        <v>41623</v>
      </c>
      <c r="H562" s="3" t="s">
        <v>20</v>
      </c>
      <c r="I562" s="3">
        <v>1</v>
      </c>
      <c r="J562" s="3" t="s">
        <v>2645</v>
      </c>
      <c r="K562" s="3" t="s">
        <v>2646</v>
      </c>
      <c r="L562" s="3" t="s">
        <v>22</v>
      </c>
      <c r="M562" s="3" t="s">
        <v>2663</v>
      </c>
      <c r="N562" s="3" t="s">
        <v>2664</v>
      </c>
      <c r="O562" s="3" t="s">
        <v>2665</v>
      </c>
      <c r="P562" s="3" t="s">
        <v>25</v>
      </c>
      <c r="Q562" s="3" t="s">
        <v>5177</v>
      </c>
    </row>
    <row r="563" spans="1:17">
      <c r="A563" s="3">
        <v>1653015</v>
      </c>
      <c r="B563" s="3" t="s">
        <v>2666</v>
      </c>
      <c r="C563" s="3" t="str">
        <f>"9781622751211"</f>
        <v>9781622751211</v>
      </c>
      <c r="D563" s="3" t="str">
        <f>"9781622751228"</f>
        <v>9781622751228</v>
      </c>
      <c r="E563" s="3" t="s">
        <v>983</v>
      </c>
      <c r="F563" s="3" t="s">
        <v>984</v>
      </c>
      <c r="G563" s="4">
        <v>41623</v>
      </c>
      <c r="H563" s="3" t="s">
        <v>20</v>
      </c>
      <c r="I563" s="3">
        <v>1</v>
      </c>
      <c r="J563" s="3" t="s">
        <v>2667</v>
      </c>
      <c r="K563" s="3" t="s">
        <v>2668</v>
      </c>
      <c r="L563" s="3" t="s">
        <v>43</v>
      </c>
      <c r="M563" s="3" t="s">
        <v>2669</v>
      </c>
      <c r="N563" s="3" t="s">
        <v>2670</v>
      </c>
      <c r="O563" s="3" t="s">
        <v>2671</v>
      </c>
      <c r="P563" s="3" t="s">
        <v>25</v>
      </c>
      <c r="Q563" s="3" t="s">
        <v>5178</v>
      </c>
    </row>
    <row r="564" spans="1:17">
      <c r="A564" s="3">
        <v>1653016</v>
      </c>
      <c r="B564" s="3" t="s">
        <v>2672</v>
      </c>
      <c r="C564" s="3" t="str">
        <f>"9781622751242"</f>
        <v>9781622751242</v>
      </c>
      <c r="D564" s="3" t="str">
        <f>"9781622751259"</f>
        <v>9781622751259</v>
      </c>
      <c r="E564" s="3" t="s">
        <v>983</v>
      </c>
      <c r="F564" s="3" t="s">
        <v>984</v>
      </c>
      <c r="G564" s="4">
        <v>41623</v>
      </c>
      <c r="H564" s="3" t="s">
        <v>20</v>
      </c>
      <c r="I564" s="3">
        <v>1</v>
      </c>
      <c r="J564" s="3" t="s">
        <v>2667</v>
      </c>
      <c r="K564" s="3" t="s">
        <v>2646</v>
      </c>
      <c r="L564" s="3" t="s">
        <v>1425</v>
      </c>
      <c r="M564" s="3" t="s">
        <v>2673</v>
      </c>
      <c r="N564" s="3" t="s">
        <v>2674</v>
      </c>
      <c r="O564" s="3" t="s">
        <v>2675</v>
      </c>
      <c r="P564" s="3" t="s">
        <v>25</v>
      </c>
      <c r="Q564" s="3" t="s">
        <v>5179</v>
      </c>
    </row>
    <row r="565" spans="1:17">
      <c r="A565" s="3">
        <v>1653017</v>
      </c>
      <c r="B565" s="3" t="s">
        <v>2676</v>
      </c>
      <c r="C565" s="3" t="str">
        <f>"9781622751266"</f>
        <v>9781622751266</v>
      </c>
      <c r="D565" s="3" t="str">
        <f>"9781622751273"</f>
        <v>9781622751273</v>
      </c>
      <c r="E565" s="3" t="s">
        <v>983</v>
      </c>
      <c r="F565" s="3" t="s">
        <v>984</v>
      </c>
      <c r="G565" s="4">
        <v>41623</v>
      </c>
      <c r="H565" s="3" t="s">
        <v>20</v>
      </c>
      <c r="I565" s="3">
        <v>1</v>
      </c>
      <c r="J565" s="3" t="s">
        <v>2667</v>
      </c>
      <c r="K565" s="3" t="s">
        <v>2646</v>
      </c>
      <c r="L565" s="3" t="s">
        <v>58</v>
      </c>
      <c r="M565" s="3" t="s">
        <v>2677</v>
      </c>
      <c r="N565" s="3">
        <v>920.72</v>
      </c>
      <c r="O565" s="3" t="s">
        <v>2678</v>
      </c>
      <c r="P565" s="3" t="s">
        <v>25</v>
      </c>
      <c r="Q565" s="3" t="s">
        <v>5180</v>
      </c>
    </row>
    <row r="566" spans="1:17">
      <c r="A566" s="3">
        <v>1653018</v>
      </c>
      <c r="B566" s="3" t="s">
        <v>2679</v>
      </c>
      <c r="C566" s="3" t="str">
        <f>"9781622751297"</f>
        <v>9781622751297</v>
      </c>
      <c r="D566" s="3" t="str">
        <f>"9781622751303"</f>
        <v>9781622751303</v>
      </c>
      <c r="E566" s="3" t="s">
        <v>983</v>
      </c>
      <c r="F566" s="3" t="s">
        <v>984</v>
      </c>
      <c r="G566" s="4">
        <v>41623</v>
      </c>
      <c r="H566" s="3" t="s">
        <v>20</v>
      </c>
      <c r="I566" s="3">
        <v>1</v>
      </c>
      <c r="J566" s="3" t="s">
        <v>2667</v>
      </c>
      <c r="K566" s="3" t="s">
        <v>2668</v>
      </c>
      <c r="L566" s="3" t="s">
        <v>43</v>
      </c>
      <c r="M566" s="3" t="s">
        <v>2680</v>
      </c>
      <c r="N566" s="3" t="s">
        <v>2681</v>
      </c>
      <c r="O566" s="3" t="s">
        <v>2682</v>
      </c>
      <c r="P566" s="3" t="s">
        <v>25</v>
      </c>
      <c r="Q566" s="3" t="s">
        <v>5181</v>
      </c>
    </row>
    <row r="567" spans="1:17">
      <c r="A567" s="3">
        <v>1653019</v>
      </c>
      <c r="B567" s="3" t="s">
        <v>2683</v>
      </c>
      <c r="C567" s="3" t="str">
        <f>"9781622751327"</f>
        <v>9781622751327</v>
      </c>
      <c r="D567" s="3" t="str">
        <f>"9781622751334"</f>
        <v>9781622751334</v>
      </c>
      <c r="E567" s="3" t="s">
        <v>983</v>
      </c>
      <c r="F567" s="3" t="s">
        <v>984</v>
      </c>
      <c r="G567" s="4">
        <v>41623</v>
      </c>
      <c r="H567" s="3" t="s">
        <v>20</v>
      </c>
      <c r="I567" s="3">
        <v>1</v>
      </c>
      <c r="J567" s="3" t="s">
        <v>2667</v>
      </c>
      <c r="K567" s="3" t="s">
        <v>2646</v>
      </c>
      <c r="L567" s="3" t="s">
        <v>182</v>
      </c>
      <c r="M567" s="3" t="s">
        <v>2684</v>
      </c>
      <c r="N567" s="3">
        <v>109.2</v>
      </c>
      <c r="O567" s="3" t="s">
        <v>2685</v>
      </c>
      <c r="P567" s="3" t="s">
        <v>25</v>
      </c>
      <c r="Q567" s="3" t="s">
        <v>5182</v>
      </c>
    </row>
    <row r="568" spans="1:17">
      <c r="A568" s="3">
        <v>1653020</v>
      </c>
      <c r="B568" s="3" t="s">
        <v>2686</v>
      </c>
      <c r="C568" s="3" t="str">
        <f>"9781622751365"</f>
        <v>9781622751365</v>
      </c>
      <c r="D568" s="3" t="str">
        <f>"9781622751358"</f>
        <v>9781622751358</v>
      </c>
      <c r="E568" s="3" t="s">
        <v>983</v>
      </c>
      <c r="F568" s="3" t="s">
        <v>984</v>
      </c>
      <c r="G568" s="4">
        <v>41623</v>
      </c>
      <c r="H568" s="3" t="s">
        <v>20</v>
      </c>
      <c r="I568" s="3">
        <v>1</v>
      </c>
      <c r="J568" s="3" t="s">
        <v>2667</v>
      </c>
      <c r="K568" s="3" t="s">
        <v>2646</v>
      </c>
      <c r="L568" s="3" t="s">
        <v>406</v>
      </c>
      <c r="M568" s="3" t="s">
        <v>2687</v>
      </c>
      <c r="N568" s="3" t="s">
        <v>2660</v>
      </c>
      <c r="O568" s="3" t="s">
        <v>2688</v>
      </c>
      <c r="P568" s="3" t="s">
        <v>25</v>
      </c>
      <c r="Q568" s="3" t="s">
        <v>5183</v>
      </c>
    </row>
    <row r="569" spans="1:17">
      <c r="A569" s="3">
        <v>1653183</v>
      </c>
      <c r="B569" s="3" t="s">
        <v>2689</v>
      </c>
      <c r="C569" s="3" t="str">
        <f>"9780786470341"</f>
        <v>9780786470341</v>
      </c>
      <c r="D569" s="3" t="str">
        <f>"9781476612133"</f>
        <v>9781476612133</v>
      </c>
      <c r="E569" s="3" t="s">
        <v>828</v>
      </c>
      <c r="F569" s="3" t="s">
        <v>828</v>
      </c>
      <c r="G569" s="4">
        <v>41773</v>
      </c>
      <c r="H569" s="3" t="s">
        <v>20</v>
      </c>
      <c r="I569" s="3">
        <v>1</v>
      </c>
      <c r="J569" s="3"/>
      <c r="K569" s="3" t="s">
        <v>2690</v>
      </c>
      <c r="L569" s="3" t="s">
        <v>219</v>
      </c>
      <c r="M569" s="3" t="s">
        <v>2691</v>
      </c>
      <c r="N569" s="3">
        <v>324.9730917</v>
      </c>
      <c r="O569" s="3" t="s">
        <v>2692</v>
      </c>
      <c r="P569" s="3" t="s">
        <v>25</v>
      </c>
      <c r="Q569" s="3" t="s">
        <v>5184</v>
      </c>
    </row>
    <row r="570" spans="1:17">
      <c r="A570" s="3">
        <v>1653194</v>
      </c>
      <c r="B570" s="3" t="s">
        <v>2693</v>
      </c>
      <c r="C570" s="3" t="str">
        <f>"9780199338993"</f>
        <v>9780199338993</v>
      </c>
      <c r="D570" s="3" t="str">
        <f>"9780199339006"</f>
        <v>9780199339006</v>
      </c>
      <c r="E570" s="3" t="s">
        <v>910</v>
      </c>
      <c r="F570" s="3" t="s">
        <v>910</v>
      </c>
      <c r="G570" s="4">
        <v>41760</v>
      </c>
      <c r="H570" s="3" t="s">
        <v>20</v>
      </c>
      <c r="I570" s="3"/>
      <c r="J570" s="3" t="s">
        <v>1423</v>
      </c>
      <c r="K570" s="3" t="s">
        <v>2694</v>
      </c>
      <c r="L570" s="3" t="s">
        <v>64</v>
      </c>
      <c r="M570" s="3" t="s">
        <v>2695</v>
      </c>
      <c r="N570" s="3">
        <v>363.33097299999997</v>
      </c>
      <c r="O570" s="3" t="s">
        <v>2696</v>
      </c>
      <c r="P570" s="3" t="s">
        <v>25</v>
      </c>
      <c r="Q570" s="3" t="s">
        <v>5185</v>
      </c>
    </row>
    <row r="571" spans="1:17">
      <c r="A571" s="3">
        <v>1657764</v>
      </c>
      <c r="B571" s="3" t="s">
        <v>2697</v>
      </c>
      <c r="C571" s="3" t="str">
        <f>"9781479893409"</f>
        <v>9781479893409</v>
      </c>
      <c r="D571" s="3" t="str">
        <f>"9781479874972"</f>
        <v>9781479874972</v>
      </c>
      <c r="E571" s="3" t="s">
        <v>1683</v>
      </c>
      <c r="F571" s="3" t="s">
        <v>1683</v>
      </c>
      <c r="G571" s="4">
        <v>41747</v>
      </c>
      <c r="H571" s="3" t="s">
        <v>20</v>
      </c>
      <c r="I571" s="3">
        <v>1</v>
      </c>
      <c r="J571" s="3"/>
      <c r="K571" s="3" t="s">
        <v>2698</v>
      </c>
      <c r="L571" s="3" t="s">
        <v>58</v>
      </c>
      <c r="M571" s="3" t="s">
        <v>2699</v>
      </c>
      <c r="N571" s="3">
        <v>973.31</v>
      </c>
      <c r="O571" s="3"/>
      <c r="P571" s="3" t="s">
        <v>25</v>
      </c>
      <c r="Q571" s="3" t="s">
        <v>5186</v>
      </c>
    </row>
    <row r="572" spans="1:17">
      <c r="A572" s="3">
        <v>1657922</v>
      </c>
      <c r="B572" s="3" t="s">
        <v>2700</v>
      </c>
      <c r="C572" s="3" t="str">
        <f>"9780826199157"</f>
        <v>9780826199157</v>
      </c>
      <c r="D572" s="3" t="str">
        <f>"9780826199164"</f>
        <v>9780826199164</v>
      </c>
      <c r="E572" s="3" t="s">
        <v>496</v>
      </c>
      <c r="F572" s="3" t="s">
        <v>496</v>
      </c>
      <c r="G572" s="4">
        <v>41730</v>
      </c>
      <c r="H572" s="3" t="s">
        <v>20</v>
      </c>
      <c r="I572" s="3">
        <v>1</v>
      </c>
      <c r="J572" s="3"/>
      <c r="K572" s="3" t="s">
        <v>2701</v>
      </c>
      <c r="L572" s="3" t="s">
        <v>514</v>
      </c>
      <c r="M572" s="3" t="s">
        <v>2702</v>
      </c>
      <c r="N572" s="3">
        <v>158.30000000000001</v>
      </c>
      <c r="O572" s="3" t="s">
        <v>2703</v>
      </c>
      <c r="P572" s="3" t="s">
        <v>25</v>
      </c>
      <c r="Q572" s="3" t="s">
        <v>5187</v>
      </c>
    </row>
    <row r="573" spans="1:17">
      <c r="A573" s="3">
        <v>1664173</v>
      </c>
      <c r="B573" s="3" t="s">
        <v>2704</v>
      </c>
      <c r="C573" s="3" t="str">
        <f>"9780786476435"</f>
        <v>9780786476435</v>
      </c>
      <c r="D573" s="3" t="str">
        <f>"9781476614700"</f>
        <v>9781476614700</v>
      </c>
      <c r="E573" s="3" t="s">
        <v>828</v>
      </c>
      <c r="F573" s="3" t="s">
        <v>828</v>
      </c>
      <c r="G573" s="4">
        <v>41769</v>
      </c>
      <c r="H573" s="3" t="s">
        <v>20</v>
      </c>
      <c r="I573" s="3">
        <v>2</v>
      </c>
      <c r="J573" s="3"/>
      <c r="K573" s="3" t="s">
        <v>2705</v>
      </c>
      <c r="L573" s="3" t="s">
        <v>43</v>
      </c>
      <c r="M573" s="3" t="s">
        <v>2706</v>
      </c>
      <c r="N573" s="3" t="s">
        <v>2707</v>
      </c>
      <c r="O573" s="3" t="s">
        <v>2708</v>
      </c>
      <c r="P573" s="3" t="s">
        <v>25</v>
      </c>
      <c r="Q573" s="3" t="s">
        <v>5188</v>
      </c>
    </row>
    <row r="574" spans="1:17">
      <c r="A574" s="3">
        <v>1666486</v>
      </c>
      <c r="B574" s="3" t="s">
        <v>2709</v>
      </c>
      <c r="C574" s="3" t="str">
        <f>"9781118775271"</f>
        <v>9781118775271</v>
      </c>
      <c r="D574" s="3" t="str">
        <f>"9781118775325"</f>
        <v>9781118775325</v>
      </c>
      <c r="E574" s="3" t="s">
        <v>32</v>
      </c>
      <c r="F574" s="3" t="s">
        <v>33</v>
      </c>
      <c r="G574" s="4">
        <v>41771</v>
      </c>
      <c r="H574" s="3" t="s">
        <v>20</v>
      </c>
      <c r="I574" s="3">
        <v>1</v>
      </c>
      <c r="J574" s="3"/>
      <c r="K574" s="3" t="s">
        <v>2710</v>
      </c>
      <c r="L574" s="3" t="s">
        <v>199</v>
      </c>
      <c r="M574" s="3" t="s">
        <v>2711</v>
      </c>
      <c r="N574" s="3">
        <v>616.85220000000004</v>
      </c>
      <c r="O574" s="3" t="s">
        <v>2712</v>
      </c>
      <c r="P574" s="3" t="s">
        <v>25</v>
      </c>
      <c r="Q574" s="3" t="s">
        <v>5189</v>
      </c>
    </row>
    <row r="575" spans="1:17">
      <c r="A575" s="3">
        <v>1675122</v>
      </c>
      <c r="B575" s="3" t="s">
        <v>2713</v>
      </c>
      <c r="C575" s="3" t="str">
        <f>"9780198731313"</f>
        <v>9780198731313</v>
      </c>
      <c r="D575" s="3" t="str">
        <f>"9780191583209"</f>
        <v>9780191583209</v>
      </c>
      <c r="E575" s="3" t="s">
        <v>910</v>
      </c>
      <c r="F575" s="3" t="s">
        <v>910</v>
      </c>
      <c r="G575" s="4">
        <v>37399</v>
      </c>
      <c r="H575" s="3" t="s">
        <v>20</v>
      </c>
      <c r="I575" s="3"/>
      <c r="J575" s="3" t="s">
        <v>2714</v>
      </c>
      <c r="K575" s="3" t="s">
        <v>2715</v>
      </c>
      <c r="L575" s="3" t="s">
        <v>58</v>
      </c>
      <c r="M575" s="3" t="s">
        <v>2716</v>
      </c>
      <c r="N575" s="3">
        <v>941</v>
      </c>
      <c r="O575" s="3" t="s">
        <v>2717</v>
      </c>
      <c r="P575" s="3" t="s">
        <v>25</v>
      </c>
      <c r="Q575" s="3" t="s">
        <v>5190</v>
      </c>
    </row>
    <row r="576" spans="1:17">
      <c r="A576" s="3">
        <v>1675123</v>
      </c>
      <c r="B576" s="3" t="s">
        <v>2718</v>
      </c>
      <c r="C576" s="3" t="str">
        <f>"9780198731535"</f>
        <v>9780198731535</v>
      </c>
      <c r="D576" s="3" t="str">
        <f>"9780191586415"</f>
        <v>9780191586415</v>
      </c>
      <c r="E576" s="3" t="s">
        <v>910</v>
      </c>
      <c r="F576" s="3" t="s">
        <v>910</v>
      </c>
      <c r="G576" s="4">
        <v>36832</v>
      </c>
      <c r="H576" s="3" t="s">
        <v>20</v>
      </c>
      <c r="I576" s="3"/>
      <c r="J576" s="3" t="s">
        <v>2719</v>
      </c>
      <c r="K576" s="3" t="s">
        <v>2720</v>
      </c>
      <c r="L576" s="3" t="s">
        <v>58</v>
      </c>
      <c r="M576" s="3" t="s">
        <v>2721</v>
      </c>
      <c r="N576" s="3">
        <v>938</v>
      </c>
      <c r="O576" s="3" t="s">
        <v>2722</v>
      </c>
      <c r="P576" s="3" t="s">
        <v>25</v>
      </c>
      <c r="Q576" s="3" t="s">
        <v>5191</v>
      </c>
    </row>
    <row r="577" spans="1:17">
      <c r="A577" s="3">
        <v>1684790</v>
      </c>
      <c r="B577" s="3" t="s">
        <v>2723</v>
      </c>
      <c r="C577" s="3" t="str">
        <f>"9780730307808"</f>
        <v>9780730307808</v>
      </c>
      <c r="D577" s="3" t="str">
        <f>"9780730307822"</f>
        <v>9780730307822</v>
      </c>
      <c r="E577" s="3" t="s">
        <v>32</v>
      </c>
      <c r="F577" s="3" t="s">
        <v>491</v>
      </c>
      <c r="G577" s="4">
        <v>42128</v>
      </c>
      <c r="H577" s="3" t="s">
        <v>20</v>
      </c>
      <c r="I577" s="3">
        <v>2</v>
      </c>
      <c r="J577" s="3"/>
      <c r="K577" s="3" t="s">
        <v>2724</v>
      </c>
      <c r="L577" s="3" t="s">
        <v>36</v>
      </c>
      <c r="M577" s="3" t="s">
        <v>2725</v>
      </c>
      <c r="N577" s="3">
        <v>650.14200000000005</v>
      </c>
      <c r="O577" s="3" t="s">
        <v>2726</v>
      </c>
      <c r="P577" s="3" t="s">
        <v>25</v>
      </c>
      <c r="Q577" s="3" t="s">
        <v>5192</v>
      </c>
    </row>
    <row r="578" spans="1:17">
      <c r="A578" s="3">
        <v>1687062</v>
      </c>
      <c r="B578" s="3" t="s">
        <v>2727</v>
      </c>
      <c r="C578" s="3" t="str">
        <f>"9783527321506"</f>
        <v>9783527321506</v>
      </c>
      <c r="D578" s="3" t="str">
        <f>"9783527654734"</f>
        <v>9783527654734</v>
      </c>
      <c r="E578" s="3" t="s">
        <v>32</v>
      </c>
      <c r="F578" s="3" t="s">
        <v>1677</v>
      </c>
      <c r="G578" s="4">
        <v>41799</v>
      </c>
      <c r="H578" s="3" t="s">
        <v>20</v>
      </c>
      <c r="I578" s="3">
        <v>2</v>
      </c>
      <c r="J578" s="3"/>
      <c r="K578" s="3" t="s">
        <v>2728</v>
      </c>
      <c r="L578" s="3" t="s">
        <v>2729</v>
      </c>
      <c r="M578" s="3" t="s">
        <v>2730</v>
      </c>
      <c r="N578" s="3">
        <v>543.5</v>
      </c>
      <c r="O578" s="3" t="s">
        <v>2731</v>
      </c>
      <c r="P578" s="3" t="s">
        <v>25</v>
      </c>
      <c r="Q578" s="3" t="s">
        <v>5193</v>
      </c>
    </row>
    <row r="579" spans="1:17">
      <c r="A579" s="3">
        <v>1690585</v>
      </c>
      <c r="B579" s="3" t="s">
        <v>2732</v>
      </c>
      <c r="C579" s="3" t="str">
        <f>"9781625131737"</f>
        <v>9781625131737</v>
      </c>
      <c r="D579" s="3" t="str">
        <f>"9781625131720"</f>
        <v>9781625131720</v>
      </c>
      <c r="E579" s="3" t="s">
        <v>359</v>
      </c>
      <c r="F579" s="3" t="s">
        <v>360</v>
      </c>
      <c r="G579" s="4">
        <v>41760</v>
      </c>
      <c r="H579" s="3" t="s">
        <v>20</v>
      </c>
      <c r="I579" s="3">
        <v>1</v>
      </c>
      <c r="J579" s="3" t="s">
        <v>2732</v>
      </c>
      <c r="K579" s="3" t="s">
        <v>736</v>
      </c>
      <c r="L579" s="3" t="s">
        <v>616</v>
      </c>
      <c r="M579" s="3" t="s">
        <v>2733</v>
      </c>
      <c r="N579" s="3">
        <v>31</v>
      </c>
      <c r="O579" s="3" t="s">
        <v>2734</v>
      </c>
      <c r="P579" s="3" t="s">
        <v>25</v>
      </c>
      <c r="Q579" s="3" t="s">
        <v>5194</v>
      </c>
    </row>
    <row r="580" spans="1:17">
      <c r="A580" s="3">
        <v>1711021</v>
      </c>
      <c r="B580" s="3" t="s">
        <v>2735</v>
      </c>
      <c r="C580" s="3" t="str">
        <f>"9780520281530"</f>
        <v>9780520281530</v>
      </c>
      <c r="D580" s="3" t="str">
        <f>"9780520958814"</f>
        <v>9780520958814</v>
      </c>
      <c r="E580" s="3" t="s">
        <v>2736</v>
      </c>
      <c r="F580" s="3" t="s">
        <v>2736</v>
      </c>
      <c r="G580" s="4">
        <v>41887</v>
      </c>
      <c r="H580" s="3" t="s">
        <v>20</v>
      </c>
      <c r="I580" s="3">
        <v>3</v>
      </c>
      <c r="J580" s="3"/>
      <c r="K580" s="3" t="s">
        <v>2737</v>
      </c>
      <c r="L580" s="3" t="s">
        <v>2738</v>
      </c>
      <c r="M580" s="3" t="s">
        <v>2739</v>
      </c>
      <c r="N580" s="3" t="s">
        <v>2740</v>
      </c>
      <c r="O580" s="3" t="s">
        <v>2741</v>
      </c>
      <c r="P580" s="3" t="s">
        <v>25</v>
      </c>
      <c r="Q580" s="3" t="s">
        <v>5195</v>
      </c>
    </row>
    <row r="581" spans="1:17">
      <c r="A581" s="3">
        <v>1711030</v>
      </c>
      <c r="B581" s="3" t="s">
        <v>2742</v>
      </c>
      <c r="C581" s="3" t="str">
        <f>"9780520283954"</f>
        <v>9780520283954</v>
      </c>
      <c r="D581" s="3" t="str">
        <f>"9780520959651"</f>
        <v>9780520959651</v>
      </c>
      <c r="E581" s="3" t="s">
        <v>2736</v>
      </c>
      <c r="F581" s="3" t="s">
        <v>2736</v>
      </c>
      <c r="G581" s="4">
        <v>41985</v>
      </c>
      <c r="H581" s="3" t="s">
        <v>20</v>
      </c>
      <c r="I581" s="3">
        <v>1</v>
      </c>
      <c r="J581" s="3"/>
      <c r="K581" s="3" t="s">
        <v>2743</v>
      </c>
      <c r="L581" s="3" t="s">
        <v>2744</v>
      </c>
      <c r="M581" s="3" t="s">
        <v>2745</v>
      </c>
      <c r="N581" s="3" t="s">
        <v>2746</v>
      </c>
      <c r="O581" s="3" t="s">
        <v>2747</v>
      </c>
      <c r="P581" s="3" t="s">
        <v>25</v>
      </c>
      <c r="Q581" s="3" t="s">
        <v>5196</v>
      </c>
    </row>
    <row r="582" spans="1:17">
      <c r="A582" s="3">
        <v>1712887</v>
      </c>
      <c r="B582" s="3" t="s">
        <v>2748</v>
      </c>
      <c r="C582" s="3" t="str">
        <f>"9781444337341"</f>
        <v>9781444337341</v>
      </c>
      <c r="D582" s="3" t="str">
        <f>"9781118834138"</f>
        <v>9781118834138</v>
      </c>
      <c r="E582" s="3" t="s">
        <v>32</v>
      </c>
      <c r="F582" s="3" t="s">
        <v>33</v>
      </c>
      <c r="G582" s="4">
        <v>41876</v>
      </c>
      <c r="H582" s="3" t="s">
        <v>20</v>
      </c>
      <c r="I582" s="3">
        <v>1</v>
      </c>
      <c r="J582" s="3" t="s">
        <v>111</v>
      </c>
      <c r="K582" s="3" t="s">
        <v>2749</v>
      </c>
      <c r="L582" s="3" t="s">
        <v>58</v>
      </c>
      <c r="M582" s="3" t="s">
        <v>2750</v>
      </c>
      <c r="N582" s="3">
        <v>937.00400000000002</v>
      </c>
      <c r="O582" s="3" t="s">
        <v>2751</v>
      </c>
      <c r="P582" s="3" t="s">
        <v>25</v>
      </c>
      <c r="Q582" s="3" t="s">
        <v>5197</v>
      </c>
    </row>
    <row r="583" spans="1:17">
      <c r="A583" s="3">
        <v>1718160</v>
      </c>
      <c r="B583" s="3" t="s">
        <v>2752</v>
      </c>
      <c r="C583" s="3" t="str">
        <f>"9781910158128"</f>
        <v>9781910158128</v>
      </c>
      <c r="D583" s="3" t="str">
        <f>"9781910158142"</f>
        <v>9781910158142</v>
      </c>
      <c r="E583" s="3" t="s">
        <v>2753</v>
      </c>
      <c r="F583" s="3" t="s">
        <v>2753</v>
      </c>
      <c r="G583" s="4">
        <v>41912</v>
      </c>
      <c r="H583" s="3" t="s">
        <v>20</v>
      </c>
      <c r="I583" s="3">
        <v>1</v>
      </c>
      <c r="J583" s="3"/>
      <c r="K583" s="3" t="s">
        <v>2754</v>
      </c>
      <c r="L583" s="3" t="s">
        <v>22</v>
      </c>
      <c r="M583" s="3"/>
      <c r="N583" s="3">
        <v>808.06637799999999</v>
      </c>
      <c r="O583" s="3"/>
      <c r="P583" s="3" t="s">
        <v>25</v>
      </c>
      <c r="Q583" s="3" t="s">
        <v>5198</v>
      </c>
    </row>
    <row r="584" spans="1:17">
      <c r="A584" s="3">
        <v>1732115</v>
      </c>
      <c r="B584" s="3" t="s">
        <v>2755</v>
      </c>
      <c r="C584" s="3" t="str">
        <f>"9781118641262"</f>
        <v>9781118641262</v>
      </c>
      <c r="D584" s="3" t="str">
        <f>"9781118641286"</f>
        <v>9781118641286</v>
      </c>
      <c r="E584" s="3" t="s">
        <v>32</v>
      </c>
      <c r="F584" s="3" t="s">
        <v>491</v>
      </c>
      <c r="G584" s="4">
        <v>42051</v>
      </c>
      <c r="H584" s="3" t="s">
        <v>20</v>
      </c>
      <c r="I584" s="3">
        <v>1</v>
      </c>
      <c r="J584" s="3"/>
      <c r="K584" s="3" t="s">
        <v>2756</v>
      </c>
      <c r="L584" s="3" t="s">
        <v>36</v>
      </c>
      <c r="M584" s="3" t="s">
        <v>2757</v>
      </c>
      <c r="N584" s="3">
        <v>658.40120000000002</v>
      </c>
      <c r="O584" s="3" t="s">
        <v>2758</v>
      </c>
      <c r="P584" s="3" t="s">
        <v>25</v>
      </c>
      <c r="Q584" s="3" t="s">
        <v>5199</v>
      </c>
    </row>
    <row r="585" spans="1:17">
      <c r="A585" s="3">
        <v>1732497</v>
      </c>
      <c r="B585" s="3" t="s">
        <v>2759</v>
      </c>
      <c r="C585" s="3" t="str">
        <f>"9780192840301"</f>
        <v>9780192840301</v>
      </c>
      <c r="D585" s="3" t="str">
        <f>"9780191587733"</f>
        <v>9780191587733</v>
      </c>
      <c r="E585" s="3" t="s">
        <v>910</v>
      </c>
      <c r="F585" s="3" t="s">
        <v>910</v>
      </c>
      <c r="G585" s="4">
        <v>37798</v>
      </c>
      <c r="H585" s="3" t="s">
        <v>20</v>
      </c>
      <c r="I585" s="3">
        <v>1</v>
      </c>
      <c r="J585" s="3" t="s">
        <v>2760</v>
      </c>
      <c r="K585" s="3" t="s">
        <v>2761</v>
      </c>
      <c r="L585" s="3" t="s">
        <v>43</v>
      </c>
      <c r="M585" s="3" t="s">
        <v>2762</v>
      </c>
      <c r="N585" s="3">
        <v>746</v>
      </c>
      <c r="O585" s="3" t="s">
        <v>2763</v>
      </c>
      <c r="P585" s="3" t="s">
        <v>25</v>
      </c>
      <c r="Q585" s="3" t="s">
        <v>5200</v>
      </c>
    </row>
    <row r="586" spans="1:17">
      <c r="A586" s="3">
        <v>1744970</v>
      </c>
      <c r="B586" s="3" t="s">
        <v>2764</v>
      </c>
      <c r="C586" s="3" t="str">
        <f>"9781444350036"</f>
        <v>9781444350036</v>
      </c>
      <c r="D586" s="3" t="str">
        <f>"9781118834589"</f>
        <v>9781118834589</v>
      </c>
      <c r="E586" s="3" t="s">
        <v>32</v>
      </c>
      <c r="F586" s="3" t="s">
        <v>33</v>
      </c>
      <c r="G586" s="4">
        <v>41918</v>
      </c>
      <c r="H586" s="3" t="s">
        <v>20</v>
      </c>
      <c r="I586" s="3">
        <v>1</v>
      </c>
      <c r="J586" s="3" t="s">
        <v>301</v>
      </c>
      <c r="K586" s="3" t="s">
        <v>2765</v>
      </c>
      <c r="L586" s="3" t="s">
        <v>58</v>
      </c>
      <c r="M586" s="3" t="s">
        <v>2766</v>
      </c>
      <c r="N586" s="3">
        <v>973.91409199999998</v>
      </c>
      <c r="O586" s="3" t="s">
        <v>2767</v>
      </c>
      <c r="P586" s="3" t="s">
        <v>25</v>
      </c>
      <c r="Q586" s="3" t="s">
        <v>5201</v>
      </c>
    </row>
    <row r="587" spans="1:17">
      <c r="A587" s="3">
        <v>1747371</v>
      </c>
      <c r="B587" s="3" t="s">
        <v>2768</v>
      </c>
      <c r="C587" s="3" t="str">
        <f>"9781479857722"</f>
        <v>9781479857722</v>
      </c>
      <c r="D587" s="3" t="str">
        <f>"9781479818334"</f>
        <v>9781479818334</v>
      </c>
      <c r="E587" s="3" t="s">
        <v>1683</v>
      </c>
      <c r="F587" s="3" t="s">
        <v>1683</v>
      </c>
      <c r="G587" s="4">
        <v>41866</v>
      </c>
      <c r="H587" s="3" t="s">
        <v>20</v>
      </c>
      <c r="I587" s="3">
        <v>1</v>
      </c>
      <c r="J587" s="3" t="s">
        <v>2769</v>
      </c>
      <c r="K587" s="3" t="s">
        <v>2770</v>
      </c>
      <c r="L587" s="3" t="s">
        <v>22</v>
      </c>
      <c r="M587" s="3" t="s">
        <v>2771</v>
      </c>
      <c r="N587" s="3" t="s">
        <v>2772</v>
      </c>
      <c r="O587" s="3" t="s">
        <v>2773</v>
      </c>
      <c r="P587" s="3" t="s">
        <v>25</v>
      </c>
      <c r="Q587" s="3" t="s">
        <v>5202</v>
      </c>
    </row>
    <row r="588" spans="1:17">
      <c r="A588" s="3">
        <v>1754258</v>
      </c>
      <c r="B588" s="3" t="s">
        <v>2774</v>
      </c>
      <c r="C588" s="3" t="str">
        <f>"9780813348858"</f>
        <v>9780813348858</v>
      </c>
      <c r="D588" s="3" t="str">
        <f>"9780813348865"</f>
        <v>9780813348865</v>
      </c>
      <c r="E588" s="3" t="s">
        <v>18</v>
      </c>
      <c r="F588" s="3" t="s">
        <v>19</v>
      </c>
      <c r="G588" s="4">
        <v>42339</v>
      </c>
      <c r="H588" s="3" t="s">
        <v>20</v>
      </c>
      <c r="I588" s="3">
        <v>4</v>
      </c>
      <c r="J588" s="3"/>
      <c r="K588" s="3" t="s">
        <v>2775</v>
      </c>
      <c r="L588" s="3" t="s">
        <v>64</v>
      </c>
      <c r="M588" s="3" t="s">
        <v>2776</v>
      </c>
      <c r="N588" s="3">
        <v>364</v>
      </c>
      <c r="O588" s="3" t="s">
        <v>2777</v>
      </c>
      <c r="P588" s="3" t="s">
        <v>25</v>
      </c>
      <c r="Q588" s="3" t="s">
        <v>5203</v>
      </c>
    </row>
    <row r="589" spans="1:17">
      <c r="A589" s="3">
        <v>1757960</v>
      </c>
      <c r="B589" s="3" t="s">
        <v>2778</v>
      </c>
      <c r="C589" s="3" t="str">
        <f>"9781118780794"</f>
        <v>9781118780794</v>
      </c>
      <c r="D589" s="3" t="str">
        <f>"9781118780770"</f>
        <v>9781118780770</v>
      </c>
      <c r="E589" s="3" t="s">
        <v>32</v>
      </c>
      <c r="F589" s="3" t="s">
        <v>32</v>
      </c>
      <c r="G589" s="4">
        <v>41918</v>
      </c>
      <c r="H589" s="3" t="s">
        <v>20</v>
      </c>
      <c r="I589" s="3">
        <v>1</v>
      </c>
      <c r="J589" s="3" t="s">
        <v>2779</v>
      </c>
      <c r="K589" s="3" t="s">
        <v>2780</v>
      </c>
      <c r="L589" s="3" t="s">
        <v>317</v>
      </c>
      <c r="M589" s="3" t="s">
        <v>2781</v>
      </c>
      <c r="N589" s="3">
        <v>616.85270000000003</v>
      </c>
      <c r="O589" s="3" t="s">
        <v>2782</v>
      </c>
      <c r="P589" s="3" t="s">
        <v>25</v>
      </c>
      <c r="Q589" s="3" t="s">
        <v>5204</v>
      </c>
    </row>
    <row r="590" spans="1:17">
      <c r="A590" s="3">
        <v>1765081</v>
      </c>
      <c r="B590" s="3" t="s">
        <v>2783</v>
      </c>
      <c r="C590" s="3" t="str">
        <f>"9780470670446"</f>
        <v>9780470670446</v>
      </c>
      <c r="D590" s="3" t="str">
        <f>"9781118715628"</f>
        <v>9781118715628</v>
      </c>
      <c r="E590" s="3" t="s">
        <v>32</v>
      </c>
      <c r="F590" s="3" t="s">
        <v>32</v>
      </c>
      <c r="G590" s="4">
        <v>41918</v>
      </c>
      <c r="H590" s="3" t="s">
        <v>20</v>
      </c>
      <c r="I590" s="3">
        <v>1</v>
      </c>
      <c r="J590" s="3"/>
      <c r="K590" s="3" t="s">
        <v>2784</v>
      </c>
      <c r="L590" s="3" t="s">
        <v>204</v>
      </c>
      <c r="M590" s="3" t="s">
        <v>2785</v>
      </c>
      <c r="N590" s="3" t="s">
        <v>2786</v>
      </c>
      <c r="O590" s="3" t="s">
        <v>2787</v>
      </c>
      <c r="P590" s="3" t="s">
        <v>25</v>
      </c>
      <c r="Q590" s="3" t="s">
        <v>5205</v>
      </c>
    </row>
    <row r="591" spans="1:17">
      <c r="A591" s="3">
        <v>1767025</v>
      </c>
      <c r="B591" s="3" t="s">
        <v>2788</v>
      </c>
      <c r="C591" s="3" t="str">
        <f>"9781118585344"</f>
        <v>9781118585344</v>
      </c>
      <c r="D591" s="3" t="str">
        <f>"9781118588369"</f>
        <v>9781118588369</v>
      </c>
      <c r="E591" s="3" t="s">
        <v>32</v>
      </c>
      <c r="F591" s="3" t="s">
        <v>33</v>
      </c>
      <c r="G591" s="4">
        <v>41953</v>
      </c>
      <c r="H591" s="3" t="s">
        <v>20</v>
      </c>
      <c r="I591" s="3">
        <v>1</v>
      </c>
      <c r="J591" s="3" t="s">
        <v>2789</v>
      </c>
      <c r="K591" s="3" t="s">
        <v>2790</v>
      </c>
      <c r="L591" s="3" t="s">
        <v>43</v>
      </c>
      <c r="M591" s="3" t="s">
        <v>2791</v>
      </c>
      <c r="N591" s="3">
        <v>791.43023309199998</v>
      </c>
      <c r="O591" s="3" t="s">
        <v>2792</v>
      </c>
      <c r="P591" s="3" t="s">
        <v>25</v>
      </c>
      <c r="Q591" s="3" t="s">
        <v>5206</v>
      </c>
    </row>
    <row r="592" spans="1:17">
      <c r="A592" s="3">
        <v>1770453</v>
      </c>
      <c r="B592" s="3" t="s">
        <v>2793</v>
      </c>
      <c r="C592" s="3" t="str">
        <f>"9789042038554"</f>
        <v>9789042038554</v>
      </c>
      <c r="D592" s="3" t="str">
        <f>"9789401210973"</f>
        <v>9789401210973</v>
      </c>
      <c r="E592" s="3" t="s">
        <v>611</v>
      </c>
      <c r="F592" s="3" t="s">
        <v>2794</v>
      </c>
      <c r="G592" s="4">
        <v>41640</v>
      </c>
      <c r="H592" s="3" t="s">
        <v>20</v>
      </c>
      <c r="I592" s="3">
        <v>1</v>
      </c>
      <c r="J592" s="3" t="s">
        <v>2795</v>
      </c>
      <c r="K592" s="3" t="s">
        <v>2796</v>
      </c>
      <c r="L592" s="3" t="s">
        <v>1579</v>
      </c>
      <c r="M592" s="3" t="s">
        <v>2797</v>
      </c>
      <c r="N592" s="3">
        <v>303.48200000000003</v>
      </c>
      <c r="O592" s="3" t="s">
        <v>2798</v>
      </c>
      <c r="P592" s="3" t="s">
        <v>25</v>
      </c>
      <c r="Q592" s="3" t="s">
        <v>5207</v>
      </c>
    </row>
    <row r="593" spans="1:17">
      <c r="A593" s="3">
        <v>1770684</v>
      </c>
      <c r="B593" s="3" t="s">
        <v>2799</v>
      </c>
      <c r="C593" s="3" t="str">
        <f>"9781118635957"</f>
        <v>9781118635957</v>
      </c>
      <c r="D593" s="3" t="str">
        <f>"9781118635964"</f>
        <v>9781118635964</v>
      </c>
      <c r="E593" s="3" t="s">
        <v>32</v>
      </c>
      <c r="F593" s="3" t="s">
        <v>32</v>
      </c>
      <c r="G593" s="4">
        <v>41957</v>
      </c>
      <c r="H593" s="3" t="s">
        <v>20</v>
      </c>
      <c r="I593" s="3">
        <v>3</v>
      </c>
      <c r="J593" s="3"/>
      <c r="K593" s="3" t="s">
        <v>2800</v>
      </c>
      <c r="L593" s="3" t="s">
        <v>22</v>
      </c>
      <c r="M593" s="3" t="s">
        <v>2801</v>
      </c>
      <c r="N593" s="3">
        <v>808.02700000000004</v>
      </c>
      <c r="O593" s="3" t="s">
        <v>2802</v>
      </c>
      <c r="P593" s="3" t="s">
        <v>25</v>
      </c>
      <c r="Q593" s="3" t="s">
        <v>5208</v>
      </c>
    </row>
    <row r="594" spans="1:17">
      <c r="A594" s="3">
        <v>1770688</v>
      </c>
      <c r="B594" s="3" t="s">
        <v>2803</v>
      </c>
      <c r="C594" s="3" t="str">
        <f>"9781444336016"</f>
        <v>9781444336016</v>
      </c>
      <c r="D594" s="3" t="str">
        <f>"9781118878187"</f>
        <v>9781118878187</v>
      </c>
      <c r="E594" s="3" t="s">
        <v>32</v>
      </c>
      <c r="F594" s="3" t="s">
        <v>33</v>
      </c>
      <c r="G594" s="4">
        <v>41960</v>
      </c>
      <c r="H594" s="3" t="s">
        <v>20</v>
      </c>
      <c r="I594" s="3">
        <v>1</v>
      </c>
      <c r="J594" s="3" t="s">
        <v>111</v>
      </c>
      <c r="K594" s="3" t="s">
        <v>2804</v>
      </c>
      <c r="L594" s="3" t="s">
        <v>219</v>
      </c>
      <c r="M594" s="3" t="s">
        <v>2805</v>
      </c>
      <c r="N594" s="3">
        <v>320.93799999999999</v>
      </c>
      <c r="O594" s="3" t="s">
        <v>2806</v>
      </c>
      <c r="P594" s="3" t="s">
        <v>25</v>
      </c>
      <c r="Q594" s="3" t="s">
        <v>5209</v>
      </c>
    </row>
    <row r="595" spans="1:17">
      <c r="A595" s="3">
        <v>1777818</v>
      </c>
      <c r="B595" s="3" t="s">
        <v>2807</v>
      </c>
      <c r="C595" s="3" t="str">
        <f>"9781118339015"</f>
        <v>9781118339015</v>
      </c>
      <c r="D595" s="3" t="str">
        <f>"9781118338971"</f>
        <v>9781118338971</v>
      </c>
      <c r="E595" s="3" t="s">
        <v>32</v>
      </c>
      <c r="F595" s="3" t="s">
        <v>33</v>
      </c>
      <c r="G595" s="4">
        <v>41960</v>
      </c>
      <c r="H595" s="3" t="s">
        <v>20</v>
      </c>
      <c r="I595" s="3">
        <v>1</v>
      </c>
      <c r="J595" s="3" t="s">
        <v>111</v>
      </c>
      <c r="K595" s="3" t="s">
        <v>2808</v>
      </c>
      <c r="L595" s="3" t="s">
        <v>58</v>
      </c>
      <c r="M595" s="3" t="s">
        <v>2809</v>
      </c>
      <c r="N595" s="3" t="s">
        <v>2810</v>
      </c>
      <c r="O595" s="3" t="s">
        <v>2811</v>
      </c>
      <c r="P595" s="3" t="s">
        <v>25</v>
      </c>
      <c r="Q595" s="3" t="s">
        <v>5210</v>
      </c>
    </row>
    <row r="596" spans="1:17">
      <c r="A596" s="3">
        <v>1779115</v>
      </c>
      <c r="B596" s="3" t="s">
        <v>2812</v>
      </c>
      <c r="C596" s="3" t="str">
        <f>"9781622753536"</f>
        <v>9781622753536</v>
      </c>
      <c r="D596" s="3" t="str">
        <f>"9781622753543"</f>
        <v>9781622753543</v>
      </c>
      <c r="E596" s="3" t="s">
        <v>983</v>
      </c>
      <c r="F596" s="3" t="s">
        <v>984</v>
      </c>
      <c r="G596" s="4">
        <v>41835</v>
      </c>
      <c r="H596" s="3" t="s">
        <v>20</v>
      </c>
      <c r="I596" s="3">
        <v>1</v>
      </c>
      <c r="J596" s="3" t="s">
        <v>2813</v>
      </c>
      <c r="K596" s="3" t="s">
        <v>2814</v>
      </c>
      <c r="L596" s="3" t="s">
        <v>622</v>
      </c>
      <c r="M596" s="3" t="s">
        <v>2815</v>
      </c>
      <c r="N596" s="3" t="s">
        <v>2816</v>
      </c>
      <c r="O596" s="3" t="s">
        <v>2817</v>
      </c>
      <c r="P596" s="3" t="s">
        <v>25</v>
      </c>
      <c r="Q596" s="3" t="s">
        <v>5211</v>
      </c>
    </row>
    <row r="597" spans="1:17">
      <c r="A597" s="3">
        <v>1779117</v>
      </c>
      <c r="B597" s="3" t="s">
        <v>2818</v>
      </c>
      <c r="C597" s="3" t="str">
        <f>"9781622753628"</f>
        <v>9781622753628</v>
      </c>
      <c r="D597" s="3" t="str">
        <f>"9781622753635"</f>
        <v>9781622753635</v>
      </c>
      <c r="E597" s="3" t="s">
        <v>983</v>
      </c>
      <c r="F597" s="3" t="s">
        <v>984</v>
      </c>
      <c r="G597" s="4">
        <v>41835</v>
      </c>
      <c r="H597" s="3" t="s">
        <v>20</v>
      </c>
      <c r="I597" s="3">
        <v>1</v>
      </c>
      <c r="J597" s="3" t="s">
        <v>2813</v>
      </c>
      <c r="K597" s="3" t="s">
        <v>2819</v>
      </c>
      <c r="L597" s="3" t="s">
        <v>64</v>
      </c>
      <c r="M597" s="3" t="s">
        <v>2820</v>
      </c>
      <c r="N597" s="3">
        <v>305.8</v>
      </c>
      <c r="O597" s="3" t="s">
        <v>2821</v>
      </c>
      <c r="P597" s="3" t="s">
        <v>25</v>
      </c>
      <c r="Q597" s="3" t="s">
        <v>5212</v>
      </c>
    </row>
    <row r="598" spans="1:17">
      <c r="A598" s="3">
        <v>1779118</v>
      </c>
      <c r="B598" s="3" t="s">
        <v>2822</v>
      </c>
      <c r="C598" s="3" t="str">
        <f>"9781622753598"</f>
        <v>9781622753598</v>
      </c>
      <c r="D598" s="3" t="str">
        <f>"9781622753604"</f>
        <v>9781622753604</v>
      </c>
      <c r="E598" s="3" t="s">
        <v>983</v>
      </c>
      <c r="F598" s="3" t="s">
        <v>984</v>
      </c>
      <c r="G598" s="4">
        <v>41835</v>
      </c>
      <c r="H598" s="3" t="s">
        <v>20</v>
      </c>
      <c r="I598" s="3">
        <v>1</v>
      </c>
      <c r="J598" s="3" t="s">
        <v>2813</v>
      </c>
      <c r="K598" s="3" t="s">
        <v>2823</v>
      </c>
      <c r="L598" s="3" t="s">
        <v>649</v>
      </c>
      <c r="M598" s="3" t="s">
        <v>2824</v>
      </c>
      <c r="N598" s="3" t="s">
        <v>2825</v>
      </c>
      <c r="O598" s="3" t="s">
        <v>2826</v>
      </c>
      <c r="P598" s="3" t="s">
        <v>25</v>
      </c>
      <c r="Q598" s="3" t="s">
        <v>5213</v>
      </c>
    </row>
    <row r="599" spans="1:17">
      <c r="A599" s="3">
        <v>1779120</v>
      </c>
      <c r="B599" s="3" t="s">
        <v>2827</v>
      </c>
      <c r="C599" s="3" t="str">
        <f>"9781622753567"</f>
        <v>9781622753567</v>
      </c>
      <c r="D599" s="3" t="str">
        <f>"9781622753574"</f>
        <v>9781622753574</v>
      </c>
      <c r="E599" s="3" t="s">
        <v>983</v>
      </c>
      <c r="F599" s="3" t="s">
        <v>984</v>
      </c>
      <c r="G599" s="4">
        <v>41835</v>
      </c>
      <c r="H599" s="3" t="s">
        <v>20</v>
      </c>
      <c r="I599" s="3">
        <v>1</v>
      </c>
      <c r="J599" s="3" t="s">
        <v>2813</v>
      </c>
      <c r="K599" s="3" t="s">
        <v>2828</v>
      </c>
      <c r="L599" s="3" t="s">
        <v>219</v>
      </c>
      <c r="M599" s="3" t="s">
        <v>2829</v>
      </c>
      <c r="N599" s="3">
        <v>321.8</v>
      </c>
      <c r="O599" s="3" t="s">
        <v>2830</v>
      </c>
      <c r="P599" s="3" t="s">
        <v>25</v>
      </c>
      <c r="Q599" s="3" t="s">
        <v>5214</v>
      </c>
    </row>
    <row r="600" spans="1:17">
      <c r="A600" s="3">
        <v>1779124</v>
      </c>
      <c r="B600" s="3" t="s">
        <v>2831</v>
      </c>
      <c r="C600" s="3" t="str">
        <f>"9781622753352"</f>
        <v>9781622753352</v>
      </c>
      <c r="D600" s="3" t="str">
        <f>"9781622753376"</f>
        <v>9781622753376</v>
      </c>
      <c r="E600" s="3" t="s">
        <v>983</v>
      </c>
      <c r="F600" s="3" t="s">
        <v>984</v>
      </c>
      <c r="G600" s="4">
        <v>41835</v>
      </c>
      <c r="H600" s="3" t="s">
        <v>20</v>
      </c>
      <c r="I600" s="3">
        <v>1</v>
      </c>
      <c r="J600" s="3" t="s">
        <v>2813</v>
      </c>
      <c r="K600" s="3" t="s">
        <v>2832</v>
      </c>
      <c r="L600" s="3" t="s">
        <v>622</v>
      </c>
      <c r="M600" s="3" t="s">
        <v>2833</v>
      </c>
      <c r="N600" s="3">
        <v>335</v>
      </c>
      <c r="O600" s="3" t="s">
        <v>2834</v>
      </c>
      <c r="P600" s="3" t="s">
        <v>25</v>
      </c>
      <c r="Q600" s="3" t="s">
        <v>5215</v>
      </c>
    </row>
    <row r="601" spans="1:17">
      <c r="A601" s="3">
        <v>1780089</v>
      </c>
      <c r="B601" s="3" t="s">
        <v>2835</v>
      </c>
      <c r="C601" s="3" t="str">
        <f>"9780199374083"</f>
        <v>9780199374083</v>
      </c>
      <c r="D601" s="3" t="str">
        <f>"9780199374106"</f>
        <v>9780199374106</v>
      </c>
      <c r="E601" s="3" t="s">
        <v>910</v>
      </c>
      <c r="F601" s="3" t="s">
        <v>910</v>
      </c>
      <c r="G601" s="4">
        <v>41925</v>
      </c>
      <c r="H601" s="3" t="s">
        <v>20</v>
      </c>
      <c r="I601" s="3"/>
      <c r="J601" s="3" t="s">
        <v>1423</v>
      </c>
      <c r="K601" s="3" t="s">
        <v>2836</v>
      </c>
      <c r="L601" s="3" t="s">
        <v>532</v>
      </c>
      <c r="M601" s="3" t="s">
        <v>2837</v>
      </c>
      <c r="N601" s="3">
        <v>378.00972999999999</v>
      </c>
      <c r="O601" s="3" t="s">
        <v>2838</v>
      </c>
      <c r="P601" s="3" t="s">
        <v>25</v>
      </c>
      <c r="Q601" s="3" t="s">
        <v>5216</v>
      </c>
    </row>
    <row r="602" spans="1:17">
      <c r="A602" s="3">
        <v>1780104</v>
      </c>
      <c r="B602" s="3" t="s">
        <v>2839</v>
      </c>
      <c r="C602" s="3" t="str">
        <f>"9780813562476"</f>
        <v>9780813562476</v>
      </c>
      <c r="D602" s="3" t="str">
        <f>"9780813562483"</f>
        <v>9780813562483</v>
      </c>
      <c r="E602" s="3" t="s">
        <v>2840</v>
      </c>
      <c r="F602" s="3" t="s">
        <v>2840</v>
      </c>
      <c r="G602" s="4">
        <v>41879</v>
      </c>
      <c r="H602" s="3" t="s">
        <v>20</v>
      </c>
      <c r="I602" s="3">
        <v>1</v>
      </c>
      <c r="J602" s="3"/>
      <c r="K602" s="3" t="s">
        <v>2841</v>
      </c>
      <c r="L602" s="3" t="s">
        <v>816</v>
      </c>
      <c r="M602" s="3" t="s">
        <v>2842</v>
      </c>
      <c r="N602" s="3">
        <v>362.101</v>
      </c>
      <c r="O602" s="3"/>
      <c r="P602" s="3" t="s">
        <v>25</v>
      </c>
      <c r="Q602" s="3" t="s">
        <v>5217</v>
      </c>
    </row>
    <row r="603" spans="1:17">
      <c r="A603" s="3">
        <v>1781840</v>
      </c>
      <c r="B603" s="3" t="s">
        <v>2843</v>
      </c>
      <c r="C603" s="3" t="str">
        <f>"9781118740682"</f>
        <v>9781118740682</v>
      </c>
      <c r="D603" s="3" t="str">
        <f>"9781118741924"</f>
        <v>9781118741924</v>
      </c>
      <c r="E603" s="3" t="s">
        <v>32</v>
      </c>
      <c r="F603" s="3" t="s">
        <v>32</v>
      </c>
      <c r="G603" s="4">
        <v>41960</v>
      </c>
      <c r="H603" s="3" t="s">
        <v>20</v>
      </c>
      <c r="I603" s="3">
        <v>3</v>
      </c>
      <c r="J603" s="3" t="s">
        <v>2779</v>
      </c>
      <c r="K603" s="3" t="s">
        <v>2844</v>
      </c>
      <c r="L603" s="3" t="s">
        <v>204</v>
      </c>
      <c r="M603" s="3" t="s">
        <v>2845</v>
      </c>
      <c r="N603" s="3" t="s">
        <v>2846</v>
      </c>
      <c r="O603" s="3" t="s">
        <v>2847</v>
      </c>
      <c r="P603" s="3" t="s">
        <v>25</v>
      </c>
      <c r="Q603" s="3" t="s">
        <v>5218</v>
      </c>
    </row>
    <row r="604" spans="1:17">
      <c r="A604" s="3">
        <v>1801269</v>
      </c>
      <c r="B604" s="3" t="s">
        <v>2848</v>
      </c>
      <c r="C604" s="3" t="str">
        <f>"9780786437559"</f>
        <v>9780786437559</v>
      </c>
      <c r="D604" s="3" t="str">
        <f>"9780786492091"</f>
        <v>9780786492091</v>
      </c>
      <c r="E604" s="3" t="s">
        <v>828</v>
      </c>
      <c r="F604" s="3" t="s">
        <v>828</v>
      </c>
      <c r="G604" s="4">
        <v>39630</v>
      </c>
      <c r="H604" s="3" t="s">
        <v>20</v>
      </c>
      <c r="I604" s="3">
        <v>2</v>
      </c>
      <c r="J604" s="3"/>
      <c r="K604" s="3" t="s">
        <v>2849</v>
      </c>
      <c r="L604" s="3" t="s">
        <v>43</v>
      </c>
      <c r="M604" s="3" t="s">
        <v>2850</v>
      </c>
      <c r="N604" s="3" t="s">
        <v>2851</v>
      </c>
      <c r="O604" s="3" t="s">
        <v>2852</v>
      </c>
      <c r="P604" s="3" t="s">
        <v>25</v>
      </c>
      <c r="Q604" s="3" t="s">
        <v>5219</v>
      </c>
    </row>
    <row r="605" spans="1:17">
      <c r="A605" s="3">
        <v>1808166</v>
      </c>
      <c r="B605" s="3" t="s">
        <v>2853</v>
      </c>
      <c r="C605" s="3" t="str">
        <f>"9781480480759"</f>
        <v>9781480480759</v>
      </c>
      <c r="D605" s="3" t="str">
        <f>"9781480403604"</f>
        <v>9781480403604</v>
      </c>
      <c r="E605" s="3" t="s">
        <v>2854</v>
      </c>
      <c r="F605" s="3" t="s">
        <v>2855</v>
      </c>
      <c r="G605" s="4">
        <v>41247</v>
      </c>
      <c r="H605" s="3" t="s">
        <v>20</v>
      </c>
      <c r="I605" s="3"/>
      <c r="J605" s="3"/>
      <c r="K605" s="3" t="s">
        <v>2856</v>
      </c>
      <c r="L605" s="3" t="s">
        <v>118</v>
      </c>
      <c r="M605" s="3" t="s">
        <v>2857</v>
      </c>
      <c r="N605" s="3">
        <v>292.13029999999998</v>
      </c>
      <c r="O605" s="3" t="s">
        <v>2858</v>
      </c>
      <c r="P605" s="3" t="s">
        <v>25</v>
      </c>
      <c r="Q605" s="3" t="s">
        <v>5220</v>
      </c>
    </row>
    <row r="606" spans="1:17">
      <c r="A606" s="3">
        <v>1810330</v>
      </c>
      <c r="B606" s="3" t="s">
        <v>2859</v>
      </c>
      <c r="C606" s="3" t="str">
        <f>"9780786418077"</f>
        <v>9780786418077</v>
      </c>
      <c r="D606" s="3" t="str">
        <f>"9780786427062"</f>
        <v>9780786427062</v>
      </c>
      <c r="E606" s="3" t="s">
        <v>828</v>
      </c>
      <c r="F606" s="3" t="s">
        <v>828</v>
      </c>
      <c r="G606" s="4">
        <v>38132</v>
      </c>
      <c r="H606" s="3" t="s">
        <v>20</v>
      </c>
      <c r="I606" s="3">
        <v>1</v>
      </c>
      <c r="J606" s="3"/>
      <c r="K606" s="3" t="s">
        <v>2860</v>
      </c>
      <c r="L606" s="3" t="s">
        <v>22</v>
      </c>
      <c r="M606" s="3" t="s">
        <v>2861</v>
      </c>
      <c r="N606" s="3" t="s">
        <v>2862</v>
      </c>
      <c r="O606" s="3" t="s">
        <v>2863</v>
      </c>
      <c r="P606" s="3" t="s">
        <v>25</v>
      </c>
      <c r="Q606" s="3" t="s">
        <v>5221</v>
      </c>
    </row>
    <row r="607" spans="1:17">
      <c r="A607" s="3">
        <v>1811476</v>
      </c>
      <c r="B607" s="3" t="s">
        <v>2864</v>
      </c>
      <c r="C607" s="3" t="str">
        <f>"9780199368426"</f>
        <v>9780199368426</v>
      </c>
      <c r="D607" s="3" t="str">
        <f>"9780199368440"</f>
        <v>9780199368440</v>
      </c>
      <c r="E607" s="3" t="s">
        <v>910</v>
      </c>
      <c r="F607" s="3" t="s">
        <v>910</v>
      </c>
      <c r="G607" s="4">
        <v>41978</v>
      </c>
      <c r="H607" s="3" t="s">
        <v>20</v>
      </c>
      <c r="I607" s="3"/>
      <c r="J607" s="3" t="s">
        <v>1423</v>
      </c>
      <c r="K607" s="3" t="s">
        <v>2865</v>
      </c>
      <c r="L607" s="3" t="s">
        <v>2866</v>
      </c>
      <c r="M607" s="3" t="s">
        <v>2867</v>
      </c>
      <c r="N607" s="3">
        <v>641.29999999999995</v>
      </c>
      <c r="O607" s="3" t="s">
        <v>2868</v>
      </c>
      <c r="P607" s="3" t="s">
        <v>25</v>
      </c>
      <c r="Q607" s="3" t="s">
        <v>5222</v>
      </c>
    </row>
    <row r="608" spans="1:17">
      <c r="A608" s="3">
        <v>1813354</v>
      </c>
      <c r="B608" s="3" t="s">
        <v>2869</v>
      </c>
      <c r="C608" s="3" t="str">
        <f>"9781118627945"</f>
        <v>9781118627945</v>
      </c>
      <c r="D608" s="3" t="str">
        <f>"9781118944028"</f>
        <v>9781118944028</v>
      </c>
      <c r="E608" s="3" t="s">
        <v>32</v>
      </c>
      <c r="F608" s="3" t="s">
        <v>530</v>
      </c>
      <c r="G608" s="4">
        <v>41946</v>
      </c>
      <c r="H608" s="3" t="s">
        <v>20</v>
      </c>
      <c r="I608" s="3">
        <v>1</v>
      </c>
      <c r="J608" s="3"/>
      <c r="K608" s="3" t="s">
        <v>2870</v>
      </c>
      <c r="L608" s="3" t="s">
        <v>420</v>
      </c>
      <c r="M608" s="3" t="s">
        <v>2871</v>
      </c>
      <c r="N608" s="3" t="s">
        <v>2872</v>
      </c>
      <c r="O608" s="3" t="s">
        <v>2873</v>
      </c>
      <c r="P608" s="3" t="s">
        <v>25</v>
      </c>
      <c r="Q608" s="3" t="s">
        <v>5223</v>
      </c>
    </row>
    <row r="609" spans="1:17">
      <c r="A609" s="3">
        <v>1814984</v>
      </c>
      <c r="B609" s="3" t="s">
        <v>2874</v>
      </c>
      <c r="C609" s="3" t="str">
        <f>"9780199996681"</f>
        <v>9780199996681</v>
      </c>
      <c r="D609" s="3" t="str">
        <f>"9780199996704"</f>
        <v>9780199996704</v>
      </c>
      <c r="E609" s="3" t="s">
        <v>910</v>
      </c>
      <c r="F609" s="3" t="s">
        <v>910</v>
      </c>
      <c r="G609" s="4">
        <v>41946</v>
      </c>
      <c r="H609" s="3" t="s">
        <v>20</v>
      </c>
      <c r="I609" s="3"/>
      <c r="J609" s="3" t="s">
        <v>1423</v>
      </c>
      <c r="K609" s="3" t="s">
        <v>2875</v>
      </c>
      <c r="L609" s="3" t="s">
        <v>2876</v>
      </c>
      <c r="M609" s="3" t="s">
        <v>2877</v>
      </c>
      <c r="N609" s="3">
        <v>577.72699999999998</v>
      </c>
      <c r="O609" s="3" t="s">
        <v>2878</v>
      </c>
      <c r="P609" s="3" t="s">
        <v>25</v>
      </c>
      <c r="Q609" s="3" t="s">
        <v>5224</v>
      </c>
    </row>
    <row r="610" spans="1:17">
      <c r="A610" s="3">
        <v>1819338</v>
      </c>
      <c r="B610" s="3" t="s">
        <v>2879</v>
      </c>
      <c r="C610" s="3" t="str">
        <f>"9780470659625"</f>
        <v>9780470659625</v>
      </c>
      <c r="D610" s="3" t="str">
        <f>"9781118592595"</f>
        <v>9781118592595</v>
      </c>
      <c r="E610" s="3" t="s">
        <v>32</v>
      </c>
      <c r="F610" s="3" t="s">
        <v>32</v>
      </c>
      <c r="G610" s="4">
        <v>41988</v>
      </c>
      <c r="H610" s="3" t="s">
        <v>20</v>
      </c>
      <c r="I610" s="3">
        <v>6</v>
      </c>
      <c r="J610" s="3" t="s">
        <v>2779</v>
      </c>
      <c r="K610" s="3" t="s">
        <v>2880</v>
      </c>
      <c r="L610" s="3" t="s">
        <v>204</v>
      </c>
      <c r="M610" s="3" t="s">
        <v>2881</v>
      </c>
      <c r="N610" s="3" t="s">
        <v>2882</v>
      </c>
      <c r="O610" s="3" t="s">
        <v>2883</v>
      </c>
      <c r="P610" s="3" t="s">
        <v>25</v>
      </c>
      <c r="Q610" s="3" t="s">
        <v>5225</v>
      </c>
    </row>
    <row r="611" spans="1:17">
      <c r="A611" s="3">
        <v>1824307</v>
      </c>
      <c r="B611" s="3" t="s">
        <v>2884</v>
      </c>
      <c r="C611" s="3" t="str">
        <f>"9781118719756"</f>
        <v>9781118719756</v>
      </c>
      <c r="D611" s="3" t="str">
        <f>"9781118719749"</f>
        <v>9781118719749</v>
      </c>
      <c r="E611" s="3" t="s">
        <v>32</v>
      </c>
      <c r="F611" s="3" t="s">
        <v>32</v>
      </c>
      <c r="G611" s="4">
        <v>42004</v>
      </c>
      <c r="H611" s="3" t="s">
        <v>20</v>
      </c>
      <c r="I611" s="3">
        <v>1</v>
      </c>
      <c r="J611" s="3" t="s">
        <v>2779</v>
      </c>
      <c r="K611" s="3" t="s">
        <v>2885</v>
      </c>
      <c r="L611" s="3" t="s">
        <v>204</v>
      </c>
      <c r="M611" s="3" t="s">
        <v>2886</v>
      </c>
      <c r="N611" s="3">
        <v>616.02800000000002</v>
      </c>
      <c r="O611" s="3" t="s">
        <v>2887</v>
      </c>
      <c r="P611" s="3" t="s">
        <v>25</v>
      </c>
      <c r="Q611" s="3" t="s">
        <v>5226</v>
      </c>
    </row>
    <row r="612" spans="1:17">
      <c r="A612" s="3">
        <v>1832443</v>
      </c>
      <c r="B612" s="3" t="s">
        <v>2888</v>
      </c>
      <c r="C612" s="3" t="str">
        <f>"9781602607675"</f>
        <v>9781602607675</v>
      </c>
      <c r="D612" s="3" t="str">
        <f>"9781607422891"</f>
        <v>9781607422891</v>
      </c>
      <c r="E612" s="3" t="s">
        <v>2889</v>
      </c>
      <c r="F612" s="3" t="s">
        <v>2890</v>
      </c>
      <c r="G612" s="4">
        <v>40695</v>
      </c>
      <c r="H612" s="3" t="s">
        <v>20</v>
      </c>
      <c r="I612" s="3"/>
      <c r="J612" s="3"/>
      <c r="K612" s="3" t="s">
        <v>2891</v>
      </c>
      <c r="L612" s="3" t="s">
        <v>118</v>
      </c>
      <c r="M612" s="3" t="s">
        <v>2892</v>
      </c>
      <c r="N612" s="3">
        <v>270</v>
      </c>
      <c r="O612" s="3" t="s">
        <v>2893</v>
      </c>
      <c r="P612" s="3" t="s">
        <v>25</v>
      </c>
      <c r="Q612" s="3" t="s">
        <v>5227</v>
      </c>
    </row>
    <row r="613" spans="1:17">
      <c r="A613" s="3">
        <v>1876193</v>
      </c>
      <c r="B613" s="3" t="s">
        <v>2894</v>
      </c>
      <c r="C613" s="3" t="str">
        <f>"9781780671635"</f>
        <v>9781780671635</v>
      </c>
      <c r="D613" s="3" t="str">
        <f>"9781780676371"</f>
        <v>9781780676371</v>
      </c>
      <c r="E613" s="3" t="s">
        <v>2895</v>
      </c>
      <c r="F613" s="3" t="s">
        <v>2895</v>
      </c>
      <c r="G613" s="4">
        <v>41877</v>
      </c>
      <c r="H613" s="3" t="s">
        <v>20</v>
      </c>
      <c r="I613" s="3">
        <v>1</v>
      </c>
      <c r="J613" s="3"/>
      <c r="K613" s="3" t="s">
        <v>2896</v>
      </c>
      <c r="L613" s="3" t="s">
        <v>2897</v>
      </c>
      <c r="M613" s="3" t="s">
        <v>2898</v>
      </c>
      <c r="N613" s="3">
        <v>720.9</v>
      </c>
      <c r="O613" s="3" t="s">
        <v>2899</v>
      </c>
      <c r="P613" s="3" t="s">
        <v>25</v>
      </c>
      <c r="Q613" s="3" t="s">
        <v>5228</v>
      </c>
    </row>
    <row r="614" spans="1:17">
      <c r="A614" s="3">
        <v>1877219</v>
      </c>
      <c r="B614" s="3" t="s">
        <v>2900</v>
      </c>
      <c r="C614" s="3" t="str">
        <f>"9789004284029"</f>
        <v>9789004284029</v>
      </c>
      <c r="D614" s="3" t="str">
        <f>"9789004284104"</f>
        <v>9789004284104</v>
      </c>
      <c r="E614" s="3" t="s">
        <v>611</v>
      </c>
      <c r="F614" s="3" t="s">
        <v>611</v>
      </c>
      <c r="G614" s="4">
        <v>41971</v>
      </c>
      <c r="H614" s="3" t="s">
        <v>20</v>
      </c>
      <c r="I614" s="3">
        <v>1</v>
      </c>
      <c r="J614" s="3" t="s">
        <v>2901</v>
      </c>
      <c r="K614" s="3" t="s">
        <v>2902</v>
      </c>
      <c r="L614" s="3" t="s">
        <v>58</v>
      </c>
      <c r="M614" s="3"/>
      <c r="N614" s="3" t="s">
        <v>2903</v>
      </c>
      <c r="O614" s="3"/>
      <c r="P614" s="3" t="s">
        <v>25</v>
      </c>
      <c r="Q614" s="3" t="s">
        <v>5229</v>
      </c>
    </row>
    <row r="615" spans="1:17">
      <c r="A615" s="3">
        <v>1882140</v>
      </c>
      <c r="B615" s="3" t="s">
        <v>2904</v>
      </c>
      <c r="C615" s="3" t="str">
        <f>"9780786427826"</f>
        <v>9780786427826</v>
      </c>
      <c r="D615" s="3" t="str">
        <f>"9781476606651"</f>
        <v>9781476606651</v>
      </c>
      <c r="E615" s="3" t="s">
        <v>828</v>
      </c>
      <c r="F615" s="3" t="s">
        <v>828</v>
      </c>
      <c r="G615" s="4">
        <v>39066</v>
      </c>
      <c r="H615" s="3" t="s">
        <v>20</v>
      </c>
      <c r="I615" s="3">
        <v>1</v>
      </c>
      <c r="J615" s="3"/>
      <c r="K615" s="3" t="s">
        <v>2905</v>
      </c>
      <c r="L615" s="3" t="s">
        <v>406</v>
      </c>
      <c r="M615" s="3" t="s">
        <v>2906</v>
      </c>
      <c r="N615" s="3" t="s">
        <v>1770</v>
      </c>
      <c r="O615" s="3" t="s">
        <v>2907</v>
      </c>
      <c r="P615" s="3" t="s">
        <v>25</v>
      </c>
      <c r="Q615" s="3" t="s">
        <v>5230</v>
      </c>
    </row>
    <row r="616" spans="1:17">
      <c r="A616" s="3">
        <v>1882167</v>
      </c>
      <c r="B616" s="3" t="s">
        <v>2908</v>
      </c>
      <c r="C616" s="3" t="str">
        <f>"9781556203206"</f>
        <v>9781556203206</v>
      </c>
      <c r="D616" s="3" t="str">
        <f>"9781119026501"</f>
        <v>9781119026501</v>
      </c>
      <c r="E616" s="3" t="s">
        <v>2909</v>
      </c>
      <c r="F616" s="3" t="s">
        <v>2909</v>
      </c>
      <c r="G616" s="4">
        <v>41671</v>
      </c>
      <c r="H616" s="3" t="s">
        <v>20</v>
      </c>
      <c r="I616" s="3">
        <v>1</v>
      </c>
      <c r="J616" s="3"/>
      <c r="K616" s="3" t="s">
        <v>2910</v>
      </c>
      <c r="L616" s="3" t="s">
        <v>199</v>
      </c>
      <c r="M616" s="3" t="s">
        <v>2911</v>
      </c>
      <c r="N616" s="3">
        <v>616.89</v>
      </c>
      <c r="O616" s="3" t="s">
        <v>2912</v>
      </c>
      <c r="P616" s="3" t="s">
        <v>25</v>
      </c>
      <c r="Q616" s="3" t="s">
        <v>5231</v>
      </c>
    </row>
    <row r="617" spans="1:17">
      <c r="A617" s="3">
        <v>1886740</v>
      </c>
      <c r="B617" s="3" t="s">
        <v>2913</v>
      </c>
      <c r="C617" s="3" t="str">
        <f>"9781597564830"</f>
        <v>9781597564830</v>
      </c>
      <c r="D617" s="3" t="str">
        <f>"9781597565738"</f>
        <v>9781597565738</v>
      </c>
      <c r="E617" s="3" t="s">
        <v>2914</v>
      </c>
      <c r="F617" s="3" t="s">
        <v>2914</v>
      </c>
      <c r="G617" s="4">
        <v>41501</v>
      </c>
      <c r="H617" s="3" t="s">
        <v>20</v>
      </c>
      <c r="I617" s="3">
        <v>1</v>
      </c>
      <c r="J617" s="3"/>
      <c r="K617" s="3" t="s">
        <v>2915</v>
      </c>
      <c r="L617" s="3" t="s">
        <v>204</v>
      </c>
      <c r="M617" s="3" t="s">
        <v>2916</v>
      </c>
      <c r="N617" s="3" t="s">
        <v>2917</v>
      </c>
      <c r="O617" s="3" t="s">
        <v>2918</v>
      </c>
      <c r="P617" s="3" t="s">
        <v>25</v>
      </c>
      <c r="Q617" s="3" t="s">
        <v>5232</v>
      </c>
    </row>
    <row r="618" spans="1:17">
      <c r="A618" s="3">
        <v>1895039</v>
      </c>
      <c r="B618" s="3" t="s">
        <v>2919</v>
      </c>
      <c r="C618" s="3" t="str">
        <f>"9781405155069"</f>
        <v>9781405155069</v>
      </c>
      <c r="D618" s="3" t="str">
        <f>"9781118335741"</f>
        <v>9781118335741</v>
      </c>
      <c r="E618" s="3" t="s">
        <v>32</v>
      </c>
      <c r="F618" s="3" t="s">
        <v>33</v>
      </c>
      <c r="G618" s="4">
        <v>42128</v>
      </c>
      <c r="H618" s="3" t="s">
        <v>20</v>
      </c>
      <c r="I618" s="3">
        <v>1</v>
      </c>
      <c r="J618" s="3"/>
      <c r="K618" s="3" t="s">
        <v>2920</v>
      </c>
      <c r="L618" s="3" t="s">
        <v>779</v>
      </c>
      <c r="M618" s="3" t="s">
        <v>2921</v>
      </c>
      <c r="N618" s="3" t="s">
        <v>2922</v>
      </c>
      <c r="O618" s="3" t="s">
        <v>2923</v>
      </c>
      <c r="P618" s="3" t="s">
        <v>25</v>
      </c>
      <c r="Q618" s="3" t="s">
        <v>5233</v>
      </c>
    </row>
    <row r="619" spans="1:17">
      <c r="A619" s="3">
        <v>1895085</v>
      </c>
      <c r="B619" s="3" t="s">
        <v>2924</v>
      </c>
      <c r="C619" s="3" t="str">
        <f>"9781118772027"</f>
        <v>9781118772027</v>
      </c>
      <c r="D619" s="3" t="str">
        <f>"9781118772010"</f>
        <v>9781118772010</v>
      </c>
      <c r="E619" s="3" t="s">
        <v>32</v>
      </c>
      <c r="F619" s="3" t="s">
        <v>33</v>
      </c>
      <c r="G619" s="4">
        <v>42157</v>
      </c>
      <c r="H619" s="3" t="s">
        <v>20</v>
      </c>
      <c r="I619" s="3">
        <v>1</v>
      </c>
      <c r="J619" s="3"/>
      <c r="K619" s="3" t="s">
        <v>2925</v>
      </c>
      <c r="L619" s="3" t="s">
        <v>64</v>
      </c>
      <c r="M619" s="3" t="s">
        <v>2926</v>
      </c>
      <c r="N619" s="3">
        <v>303.48340000000002</v>
      </c>
      <c r="O619" s="3" t="s">
        <v>2927</v>
      </c>
      <c r="P619" s="3" t="s">
        <v>25</v>
      </c>
      <c r="Q619" s="3" t="s">
        <v>5234</v>
      </c>
    </row>
    <row r="620" spans="1:17">
      <c r="A620" s="3">
        <v>1895466</v>
      </c>
      <c r="B620" s="3" t="s">
        <v>2928</v>
      </c>
      <c r="C620" s="3" t="str">
        <f>"9781118486665"</f>
        <v>9781118486665</v>
      </c>
      <c r="D620" s="3" t="str">
        <f>"9781118486641"</f>
        <v>9781118486641</v>
      </c>
      <c r="E620" s="3" t="s">
        <v>32</v>
      </c>
      <c r="F620" s="3" t="s">
        <v>33</v>
      </c>
      <c r="G620" s="4">
        <v>42289</v>
      </c>
      <c r="H620" s="3" t="s">
        <v>20</v>
      </c>
      <c r="I620" s="3">
        <v>1</v>
      </c>
      <c r="J620" s="3" t="s">
        <v>860</v>
      </c>
      <c r="K620" s="3" t="s">
        <v>2929</v>
      </c>
      <c r="L620" s="3" t="s">
        <v>2930</v>
      </c>
      <c r="M620" s="3" t="s">
        <v>2931</v>
      </c>
      <c r="N620" s="3" t="s">
        <v>2932</v>
      </c>
      <c r="O620" s="3" t="s">
        <v>2933</v>
      </c>
      <c r="P620" s="3" t="s">
        <v>25</v>
      </c>
      <c r="Q620" s="3" t="s">
        <v>5235</v>
      </c>
    </row>
    <row r="621" spans="1:17">
      <c r="A621" s="3">
        <v>1895479</v>
      </c>
      <c r="B621" s="3" t="s">
        <v>2934</v>
      </c>
      <c r="C621" s="3" t="str">
        <f>"9781118533406"</f>
        <v>9781118533406</v>
      </c>
      <c r="D621" s="3" t="str">
        <f>"9781118533475"</f>
        <v>9781118533475</v>
      </c>
      <c r="E621" s="3" t="s">
        <v>32</v>
      </c>
      <c r="F621" s="3" t="s">
        <v>33</v>
      </c>
      <c r="G621" s="4">
        <v>42170</v>
      </c>
      <c r="H621" s="3" t="s">
        <v>20</v>
      </c>
      <c r="I621" s="3">
        <v>1</v>
      </c>
      <c r="J621" s="3" t="s">
        <v>502</v>
      </c>
      <c r="K621" s="3" t="s">
        <v>2935</v>
      </c>
      <c r="L621" s="3" t="s">
        <v>504</v>
      </c>
      <c r="M621" s="3" t="s">
        <v>2936</v>
      </c>
      <c r="N621" s="3" t="s">
        <v>2937</v>
      </c>
      <c r="O621" s="3" t="s">
        <v>2938</v>
      </c>
      <c r="P621" s="3" t="s">
        <v>25</v>
      </c>
      <c r="Q621" s="3" t="s">
        <v>5236</v>
      </c>
    </row>
    <row r="622" spans="1:17">
      <c r="A622" s="3">
        <v>1895505</v>
      </c>
      <c r="B622" s="3" t="s">
        <v>2939</v>
      </c>
      <c r="C622" s="3" t="str">
        <f>"9780470655047"</f>
        <v>9780470655047</v>
      </c>
      <c r="D622" s="3" t="str">
        <f>"9781118607923"</f>
        <v>9781118607923</v>
      </c>
      <c r="E622" s="3" t="s">
        <v>32</v>
      </c>
      <c r="F622" s="3" t="s">
        <v>33</v>
      </c>
      <c r="G622" s="4">
        <v>42114</v>
      </c>
      <c r="H622" s="3" t="s">
        <v>20</v>
      </c>
      <c r="I622" s="3">
        <v>1</v>
      </c>
      <c r="J622" s="3" t="s">
        <v>301</v>
      </c>
      <c r="K622" s="3" t="s">
        <v>2940</v>
      </c>
      <c r="L622" s="3" t="s">
        <v>58</v>
      </c>
      <c r="M622" s="3" t="s">
        <v>2941</v>
      </c>
      <c r="N622" s="3">
        <v>973.92709200000002</v>
      </c>
      <c r="O622" s="3" t="s">
        <v>2942</v>
      </c>
      <c r="P622" s="3" t="s">
        <v>25</v>
      </c>
      <c r="Q622" s="3" t="s">
        <v>5237</v>
      </c>
    </row>
    <row r="623" spans="1:17">
      <c r="A623" s="3">
        <v>1895603</v>
      </c>
      <c r="B623" s="3" t="s">
        <v>2943</v>
      </c>
      <c r="C623" s="3" t="str">
        <f>"9781118789247"</f>
        <v>9781118789247</v>
      </c>
      <c r="D623" s="3" t="str">
        <f>"9781118789315"</f>
        <v>9781118789315</v>
      </c>
      <c r="E623" s="3" t="s">
        <v>32</v>
      </c>
      <c r="F623" s="3" t="s">
        <v>33</v>
      </c>
      <c r="G623" s="4">
        <v>42128</v>
      </c>
      <c r="H623" s="3" t="s">
        <v>20</v>
      </c>
      <c r="I623" s="3">
        <v>1</v>
      </c>
      <c r="J623" s="3"/>
      <c r="K623" s="3" t="s">
        <v>2944</v>
      </c>
      <c r="L623" s="3" t="s">
        <v>64</v>
      </c>
      <c r="M623" s="3" t="s">
        <v>2945</v>
      </c>
      <c r="N623" s="3" t="s">
        <v>2946</v>
      </c>
      <c r="O623" s="3" t="s">
        <v>2947</v>
      </c>
      <c r="P623" s="3" t="s">
        <v>25</v>
      </c>
      <c r="Q623" s="3" t="s">
        <v>5238</v>
      </c>
    </row>
    <row r="624" spans="1:17">
      <c r="A624" s="3">
        <v>1895648</v>
      </c>
      <c r="B624" s="3" t="s">
        <v>2948</v>
      </c>
      <c r="C624" s="3" t="str">
        <f>"9781118841488"</f>
        <v>9781118841488</v>
      </c>
      <c r="D624" s="3" t="str">
        <f>"9781118841631"</f>
        <v>9781118841631</v>
      </c>
      <c r="E624" s="3" t="s">
        <v>32</v>
      </c>
      <c r="F624" s="3" t="s">
        <v>530</v>
      </c>
      <c r="G624" s="4">
        <v>42052</v>
      </c>
      <c r="H624" s="3" t="s">
        <v>20</v>
      </c>
      <c r="I624" s="3">
        <v>1</v>
      </c>
      <c r="J624" s="3" t="s">
        <v>2949</v>
      </c>
      <c r="K624" s="3" t="s">
        <v>2950</v>
      </c>
      <c r="L624" s="3" t="s">
        <v>36</v>
      </c>
      <c r="M624" s="3" t="s">
        <v>2951</v>
      </c>
      <c r="N624" s="3" t="s">
        <v>2952</v>
      </c>
      <c r="O624" s="3" t="s">
        <v>2953</v>
      </c>
      <c r="P624" s="3" t="s">
        <v>25</v>
      </c>
      <c r="Q624" s="3" t="s">
        <v>5239</v>
      </c>
    </row>
    <row r="625" spans="1:17">
      <c r="A625" s="3">
        <v>1895704</v>
      </c>
      <c r="B625" s="3" t="s">
        <v>2954</v>
      </c>
      <c r="C625" s="3" t="str">
        <f>"9780470671641"</f>
        <v>9780470671641</v>
      </c>
      <c r="D625" s="3" t="str">
        <f>"9781118884447"</f>
        <v>9781118884447</v>
      </c>
      <c r="E625" s="3" t="s">
        <v>32</v>
      </c>
      <c r="F625" s="3" t="s">
        <v>33</v>
      </c>
      <c r="G625" s="4">
        <v>42079</v>
      </c>
      <c r="H625" s="3" t="s">
        <v>20</v>
      </c>
      <c r="I625" s="3">
        <v>1</v>
      </c>
      <c r="J625" s="3"/>
      <c r="K625" s="3" t="s">
        <v>2955</v>
      </c>
      <c r="L625" s="3" t="s">
        <v>2956</v>
      </c>
      <c r="M625" s="3" t="s">
        <v>2957</v>
      </c>
      <c r="N625" s="3" t="s">
        <v>2958</v>
      </c>
      <c r="O625" s="3" t="s">
        <v>2959</v>
      </c>
      <c r="P625" s="3" t="s">
        <v>25</v>
      </c>
      <c r="Q625" s="3" t="s">
        <v>5240</v>
      </c>
    </row>
    <row r="626" spans="1:17">
      <c r="A626" s="3">
        <v>1895705</v>
      </c>
      <c r="B626" s="3" t="s">
        <v>2960</v>
      </c>
      <c r="C626" s="3" t="str">
        <f>"9781444350005"</f>
        <v>9781444350005</v>
      </c>
      <c r="D626" s="3" t="str">
        <f>"9781118885888"</f>
        <v>9781118885888</v>
      </c>
      <c r="E626" s="3" t="s">
        <v>32</v>
      </c>
      <c r="F626" s="3" t="s">
        <v>33</v>
      </c>
      <c r="G626" s="4">
        <v>42170</v>
      </c>
      <c r="H626" s="3" t="s">
        <v>20</v>
      </c>
      <c r="I626" s="3">
        <v>1</v>
      </c>
      <c r="J626" s="3" t="s">
        <v>111</v>
      </c>
      <c r="K626" s="3" t="s">
        <v>2961</v>
      </c>
      <c r="L626" s="3" t="s">
        <v>118</v>
      </c>
      <c r="M626" s="3" t="s">
        <v>2962</v>
      </c>
      <c r="N626" s="3">
        <v>200.9</v>
      </c>
      <c r="O626" s="3" t="s">
        <v>2963</v>
      </c>
      <c r="P626" s="3" t="s">
        <v>25</v>
      </c>
      <c r="Q626" s="3" t="s">
        <v>5241</v>
      </c>
    </row>
    <row r="627" spans="1:17">
      <c r="A627" s="3">
        <v>1895798</v>
      </c>
      <c r="B627" s="3" t="s">
        <v>2964</v>
      </c>
      <c r="C627" s="3" t="str">
        <f>"9781118136775"</f>
        <v>9781118136775</v>
      </c>
      <c r="D627" s="3" t="str">
        <f>"9781118952979"</f>
        <v>9781118952979</v>
      </c>
      <c r="E627" s="3" t="s">
        <v>32</v>
      </c>
      <c r="F627" s="3" t="s">
        <v>32</v>
      </c>
      <c r="G627" s="4">
        <v>42100</v>
      </c>
      <c r="H627" s="3" t="s">
        <v>20</v>
      </c>
      <c r="I627" s="3">
        <v>7</v>
      </c>
      <c r="J627" s="3"/>
      <c r="K627" s="3" t="s">
        <v>2965</v>
      </c>
      <c r="L627" s="3" t="s">
        <v>514</v>
      </c>
      <c r="M627" s="3" t="s">
        <v>2966</v>
      </c>
      <c r="N627" s="3">
        <v>155.4</v>
      </c>
      <c r="O627" s="3" t="s">
        <v>2967</v>
      </c>
      <c r="P627" s="3" t="s">
        <v>25</v>
      </c>
      <c r="Q627" s="3" t="s">
        <v>5242</v>
      </c>
    </row>
    <row r="628" spans="1:17">
      <c r="A628" s="3">
        <v>1895801</v>
      </c>
      <c r="B628" s="3" t="s">
        <v>2968</v>
      </c>
      <c r="C628" s="3" t="str">
        <f>"9781118136782"</f>
        <v>9781118136782</v>
      </c>
      <c r="D628" s="3" t="str">
        <f>"9781118953846"</f>
        <v>9781118953846</v>
      </c>
      <c r="E628" s="3" t="s">
        <v>32</v>
      </c>
      <c r="F628" s="3" t="s">
        <v>32</v>
      </c>
      <c r="G628" s="4">
        <v>42100</v>
      </c>
      <c r="H628" s="3" t="s">
        <v>20</v>
      </c>
      <c r="I628" s="3">
        <v>7</v>
      </c>
      <c r="J628" s="3"/>
      <c r="K628" s="3" t="s">
        <v>2969</v>
      </c>
      <c r="L628" s="3" t="s">
        <v>514</v>
      </c>
      <c r="M628" s="3" t="s">
        <v>2966</v>
      </c>
      <c r="N628" s="3">
        <v>155.4</v>
      </c>
      <c r="O628" s="3" t="s">
        <v>2967</v>
      </c>
      <c r="P628" s="3" t="s">
        <v>25</v>
      </c>
      <c r="Q628" s="3" t="s">
        <v>5243</v>
      </c>
    </row>
    <row r="629" spans="1:17">
      <c r="A629" s="3">
        <v>1895802</v>
      </c>
      <c r="B629" s="3" t="s">
        <v>2970</v>
      </c>
      <c r="C629" s="3" t="str">
        <f>"9781118136799"</f>
        <v>9781118136799</v>
      </c>
      <c r="D629" s="3" t="str">
        <f>"9781118953877"</f>
        <v>9781118953877</v>
      </c>
      <c r="E629" s="3" t="s">
        <v>32</v>
      </c>
      <c r="F629" s="3" t="s">
        <v>32</v>
      </c>
      <c r="G629" s="4">
        <v>42100</v>
      </c>
      <c r="H629" s="3" t="s">
        <v>20</v>
      </c>
      <c r="I629" s="3">
        <v>7</v>
      </c>
      <c r="J629" s="3"/>
      <c r="K629" s="3" t="s">
        <v>2971</v>
      </c>
      <c r="L629" s="3" t="s">
        <v>514</v>
      </c>
      <c r="M629" s="3" t="s">
        <v>2966</v>
      </c>
      <c r="N629" s="3">
        <v>155.4</v>
      </c>
      <c r="O629" s="3" t="s">
        <v>2967</v>
      </c>
      <c r="P629" s="3" t="s">
        <v>25</v>
      </c>
      <c r="Q629" s="3" t="s">
        <v>5244</v>
      </c>
    </row>
    <row r="630" spans="1:17">
      <c r="A630" s="3">
        <v>1895803</v>
      </c>
      <c r="B630" s="3" t="s">
        <v>2972</v>
      </c>
      <c r="C630" s="3" t="str">
        <f>"9781118136805"</f>
        <v>9781118136805</v>
      </c>
      <c r="D630" s="3" t="str">
        <f>"9781118953914"</f>
        <v>9781118953914</v>
      </c>
      <c r="E630" s="3" t="s">
        <v>32</v>
      </c>
      <c r="F630" s="3" t="s">
        <v>32</v>
      </c>
      <c r="G630" s="4">
        <v>42100</v>
      </c>
      <c r="H630" s="3" t="s">
        <v>20</v>
      </c>
      <c r="I630" s="3">
        <v>7</v>
      </c>
      <c r="J630" s="3"/>
      <c r="K630" s="3" t="s">
        <v>2973</v>
      </c>
      <c r="L630" s="3" t="s">
        <v>514</v>
      </c>
      <c r="M630" s="3" t="s">
        <v>2974</v>
      </c>
      <c r="N630" s="3">
        <v>155.4</v>
      </c>
      <c r="O630" s="3" t="s">
        <v>2967</v>
      </c>
      <c r="P630" s="3" t="s">
        <v>25</v>
      </c>
      <c r="Q630" s="3" t="s">
        <v>5245</v>
      </c>
    </row>
    <row r="631" spans="1:17">
      <c r="A631" s="3">
        <v>1896002</v>
      </c>
      <c r="B631" s="3" t="s">
        <v>2975</v>
      </c>
      <c r="C631" s="3" t="str">
        <f>"9781119049036"</f>
        <v>9781119049036</v>
      </c>
      <c r="D631" s="3" t="str">
        <f>"9781119049166"</f>
        <v>9781119049166</v>
      </c>
      <c r="E631" s="3" t="s">
        <v>32</v>
      </c>
      <c r="F631" s="3" t="s">
        <v>530</v>
      </c>
      <c r="G631" s="4">
        <v>42016</v>
      </c>
      <c r="H631" s="3" t="s">
        <v>20</v>
      </c>
      <c r="I631" s="3">
        <v>1</v>
      </c>
      <c r="J631" s="3" t="s">
        <v>2976</v>
      </c>
      <c r="K631" s="3" t="s">
        <v>2977</v>
      </c>
      <c r="L631" s="3" t="s">
        <v>532</v>
      </c>
      <c r="M631" s="3" t="s">
        <v>2978</v>
      </c>
      <c r="N631" s="3">
        <v>371.8</v>
      </c>
      <c r="O631" s="3" t="s">
        <v>2979</v>
      </c>
      <c r="P631" s="3" t="s">
        <v>25</v>
      </c>
      <c r="Q631" s="3" t="s">
        <v>5246</v>
      </c>
    </row>
    <row r="632" spans="1:17">
      <c r="A632" s="3">
        <v>1911581</v>
      </c>
      <c r="B632" s="3" t="s">
        <v>2980</v>
      </c>
      <c r="C632" s="3" t="str">
        <f>"9780786424597"</f>
        <v>9780786424597</v>
      </c>
      <c r="D632" s="3" t="str">
        <f>"9781476602301"</f>
        <v>9781476602301</v>
      </c>
      <c r="E632" s="3" t="s">
        <v>828</v>
      </c>
      <c r="F632" s="3" t="s">
        <v>828</v>
      </c>
      <c r="G632" s="4">
        <v>38779</v>
      </c>
      <c r="H632" s="3" t="s">
        <v>20</v>
      </c>
      <c r="I632" s="3">
        <v>1</v>
      </c>
      <c r="J632" s="3"/>
      <c r="K632" s="3" t="s">
        <v>2981</v>
      </c>
      <c r="L632" s="3" t="s">
        <v>58</v>
      </c>
      <c r="M632" s="3" t="s">
        <v>2982</v>
      </c>
      <c r="N632" s="3" t="s">
        <v>2983</v>
      </c>
      <c r="O632" s="3" t="s">
        <v>2984</v>
      </c>
      <c r="P632" s="3" t="s">
        <v>25</v>
      </c>
      <c r="Q632" s="3" t="s">
        <v>5247</v>
      </c>
    </row>
    <row r="633" spans="1:17">
      <c r="A633" s="3">
        <v>1911582</v>
      </c>
      <c r="B633" s="3" t="s">
        <v>2985</v>
      </c>
      <c r="C633" s="3" t="str">
        <f>"9780786422418"</f>
        <v>9780786422418</v>
      </c>
      <c r="D633" s="3" t="str">
        <f>"9781476608389"</f>
        <v>9781476608389</v>
      </c>
      <c r="E633" s="3" t="s">
        <v>828</v>
      </c>
      <c r="F633" s="3" t="s">
        <v>828</v>
      </c>
      <c r="G633" s="4">
        <v>38708</v>
      </c>
      <c r="H633" s="3" t="s">
        <v>20</v>
      </c>
      <c r="I633" s="3">
        <v>1</v>
      </c>
      <c r="J633" s="3"/>
      <c r="K633" s="3" t="s">
        <v>2986</v>
      </c>
      <c r="L633" s="3" t="s">
        <v>118</v>
      </c>
      <c r="M633" s="3" t="s">
        <v>2987</v>
      </c>
      <c r="N633" s="3">
        <v>230.00299999999999</v>
      </c>
      <c r="O633" s="3" t="s">
        <v>2988</v>
      </c>
      <c r="P633" s="3" t="s">
        <v>25</v>
      </c>
      <c r="Q633" s="3" t="s">
        <v>5248</v>
      </c>
    </row>
    <row r="634" spans="1:17">
      <c r="A634" s="3">
        <v>1911591</v>
      </c>
      <c r="B634" s="3" t="s">
        <v>2989</v>
      </c>
      <c r="C634" s="3" t="str">
        <f>"9780786421053"</f>
        <v>9780786421053</v>
      </c>
      <c r="D634" s="3" t="str">
        <f>"9781476609416"</f>
        <v>9781476609416</v>
      </c>
      <c r="E634" s="3" t="s">
        <v>828</v>
      </c>
      <c r="F634" s="3" t="s">
        <v>828</v>
      </c>
      <c r="G634" s="4">
        <v>38481</v>
      </c>
      <c r="H634" s="3" t="s">
        <v>20</v>
      </c>
      <c r="I634" s="3">
        <v>1</v>
      </c>
      <c r="J634" s="3"/>
      <c r="K634" s="3" t="s">
        <v>2990</v>
      </c>
      <c r="L634" s="3" t="s">
        <v>22</v>
      </c>
      <c r="M634" s="3" t="s">
        <v>2991</v>
      </c>
      <c r="N634" s="3">
        <v>828.80899999999997</v>
      </c>
      <c r="O634" s="3" t="s">
        <v>2992</v>
      </c>
      <c r="P634" s="3" t="s">
        <v>25</v>
      </c>
      <c r="Q634" s="3" t="s">
        <v>5249</v>
      </c>
    </row>
    <row r="635" spans="1:17">
      <c r="A635" s="3">
        <v>1911969</v>
      </c>
      <c r="B635" s="3" t="s">
        <v>2993</v>
      </c>
      <c r="C635" s="3" t="str">
        <f>"9780199922789"</f>
        <v>9780199922789</v>
      </c>
      <c r="D635" s="3" t="str">
        <f>"9780199378852"</f>
        <v>9780199378852</v>
      </c>
      <c r="E635" s="3" t="s">
        <v>910</v>
      </c>
      <c r="F635" s="3" t="s">
        <v>910</v>
      </c>
      <c r="G635" s="4">
        <v>42060</v>
      </c>
      <c r="H635" s="3" t="s">
        <v>20</v>
      </c>
      <c r="I635" s="3">
        <v>2</v>
      </c>
      <c r="J635" s="3" t="s">
        <v>1013</v>
      </c>
      <c r="K635" s="3" t="s">
        <v>2994</v>
      </c>
      <c r="L635" s="3" t="s">
        <v>204</v>
      </c>
      <c r="M635" s="3" t="s">
        <v>2995</v>
      </c>
      <c r="N635" s="3">
        <v>616.99400000000003</v>
      </c>
      <c r="O635" s="3" t="s">
        <v>2996</v>
      </c>
      <c r="P635" s="3" t="s">
        <v>25</v>
      </c>
      <c r="Q635" s="3" t="s">
        <v>5250</v>
      </c>
    </row>
    <row r="636" spans="1:17">
      <c r="A636" s="3">
        <v>1915540</v>
      </c>
      <c r="B636" s="3" t="s">
        <v>2997</v>
      </c>
      <c r="C636" s="3" t="str">
        <f>"9780813155876"</f>
        <v>9780813155876</v>
      </c>
      <c r="D636" s="3" t="str">
        <f>"9780813165202"</f>
        <v>9780813165202</v>
      </c>
      <c r="E636" s="3" t="s">
        <v>2998</v>
      </c>
      <c r="F636" s="3" t="s">
        <v>2998</v>
      </c>
      <c r="G636" s="4">
        <v>41827</v>
      </c>
      <c r="H636" s="3" t="s">
        <v>20</v>
      </c>
      <c r="I636" s="3"/>
      <c r="J636" s="3"/>
      <c r="K636" s="3" t="s">
        <v>2999</v>
      </c>
      <c r="L636" s="3" t="s">
        <v>3000</v>
      </c>
      <c r="M636" s="3" t="s">
        <v>3001</v>
      </c>
      <c r="N636" s="3">
        <v>301.24308459999997</v>
      </c>
      <c r="O636" s="3" t="s">
        <v>3002</v>
      </c>
      <c r="P636" s="3" t="s">
        <v>25</v>
      </c>
      <c r="Q636" s="3" t="s">
        <v>5251</v>
      </c>
    </row>
    <row r="637" spans="1:17">
      <c r="A637" s="3">
        <v>1920851</v>
      </c>
      <c r="B637" s="3" t="s">
        <v>3003</v>
      </c>
      <c r="C637" s="3" t="str">
        <f>"9780786429349"</f>
        <v>9780786429349</v>
      </c>
      <c r="D637" s="3" t="str">
        <f>"9781476609966"</f>
        <v>9781476609966</v>
      </c>
      <c r="E637" s="3" t="s">
        <v>828</v>
      </c>
      <c r="F637" s="3" t="s">
        <v>828</v>
      </c>
      <c r="G637" s="4">
        <v>39070</v>
      </c>
      <c r="H637" s="3" t="s">
        <v>20</v>
      </c>
      <c r="I637" s="3">
        <v>2</v>
      </c>
      <c r="J637" s="3"/>
      <c r="K637" s="3" t="s">
        <v>3004</v>
      </c>
      <c r="L637" s="3" t="s">
        <v>58</v>
      </c>
      <c r="M637" s="3" t="s">
        <v>3005</v>
      </c>
      <c r="N637" s="3">
        <v>929.44</v>
      </c>
      <c r="O637" s="3" t="s">
        <v>3006</v>
      </c>
      <c r="P637" s="3" t="s">
        <v>25</v>
      </c>
      <c r="Q637" s="3" t="s">
        <v>5252</v>
      </c>
    </row>
    <row r="638" spans="1:17">
      <c r="A638" s="3">
        <v>1926069</v>
      </c>
      <c r="B638" s="3" t="s">
        <v>3007</v>
      </c>
      <c r="C638" s="3" t="str">
        <f>"9780199783281"</f>
        <v>9780199783281</v>
      </c>
      <c r="D638" s="3" t="str">
        <f>"9780199790531"</f>
        <v>9780199790531</v>
      </c>
      <c r="E638" s="3" t="s">
        <v>910</v>
      </c>
      <c r="F638" s="3" t="s">
        <v>910</v>
      </c>
      <c r="G638" s="4">
        <v>42128</v>
      </c>
      <c r="H638" s="3" t="s">
        <v>20</v>
      </c>
      <c r="I638" s="3"/>
      <c r="J638" s="3" t="s">
        <v>1423</v>
      </c>
      <c r="K638" s="3" t="s">
        <v>3008</v>
      </c>
      <c r="L638" s="3" t="s">
        <v>58</v>
      </c>
      <c r="M638" s="3" t="s">
        <v>3009</v>
      </c>
      <c r="N638" s="3">
        <v>987</v>
      </c>
      <c r="O638" s="3" t="s">
        <v>3010</v>
      </c>
      <c r="P638" s="3" t="s">
        <v>25</v>
      </c>
      <c r="Q638" s="3" t="s">
        <v>5253</v>
      </c>
    </row>
    <row r="639" spans="1:17">
      <c r="A639" s="3">
        <v>1926297</v>
      </c>
      <c r="B639" s="3" t="s">
        <v>3011</v>
      </c>
      <c r="C639" s="3" t="str">
        <f>"9780814769133"</f>
        <v>9780814769133</v>
      </c>
      <c r="D639" s="3" t="str">
        <f>"9780814769164"</f>
        <v>9780814769164</v>
      </c>
      <c r="E639" s="3" t="s">
        <v>1683</v>
      </c>
      <c r="F639" s="3" t="s">
        <v>1683</v>
      </c>
      <c r="G639" s="4">
        <v>42027</v>
      </c>
      <c r="H639" s="3" t="s">
        <v>20</v>
      </c>
      <c r="I639" s="3">
        <v>1</v>
      </c>
      <c r="J639" s="3"/>
      <c r="K639" s="3" t="s">
        <v>3012</v>
      </c>
      <c r="L639" s="3" t="s">
        <v>225</v>
      </c>
      <c r="M639" s="3" t="s">
        <v>3013</v>
      </c>
      <c r="N639" s="3">
        <v>392.30973090340001</v>
      </c>
      <c r="O639" s="3" t="s">
        <v>3014</v>
      </c>
      <c r="P639" s="3" t="s">
        <v>25</v>
      </c>
      <c r="Q639" s="3" t="s">
        <v>5254</v>
      </c>
    </row>
    <row r="640" spans="1:17">
      <c r="A640" s="3">
        <v>1931481</v>
      </c>
      <c r="B640" s="3" t="s">
        <v>3015</v>
      </c>
      <c r="C640" s="3" t="str">
        <f>"9780786427703"</f>
        <v>9780786427703</v>
      </c>
      <c r="D640" s="3" t="str">
        <f>"9781476606484"</f>
        <v>9781476606484</v>
      </c>
      <c r="E640" s="3" t="s">
        <v>828</v>
      </c>
      <c r="F640" s="3" t="s">
        <v>828</v>
      </c>
      <c r="G640" s="4">
        <v>38991</v>
      </c>
      <c r="H640" s="3" t="s">
        <v>20</v>
      </c>
      <c r="I640" s="3">
        <v>1</v>
      </c>
      <c r="J640" s="3"/>
      <c r="K640" s="3" t="s">
        <v>3016</v>
      </c>
      <c r="L640" s="3" t="s">
        <v>3017</v>
      </c>
      <c r="M640" s="3" t="s">
        <v>3018</v>
      </c>
      <c r="N640" s="3" t="s">
        <v>3019</v>
      </c>
      <c r="O640" s="3" t="s">
        <v>3020</v>
      </c>
      <c r="P640" s="3" t="s">
        <v>25</v>
      </c>
      <c r="Q640" s="3" t="s">
        <v>5255</v>
      </c>
    </row>
    <row r="641" spans="1:17">
      <c r="A641" s="3">
        <v>1953173</v>
      </c>
      <c r="B641" s="3" t="s">
        <v>3021</v>
      </c>
      <c r="C641" s="3" t="str">
        <f>"9780826120311"</f>
        <v>9780826120311</v>
      </c>
      <c r="D641" s="3" t="str">
        <f>"9780826120328"</f>
        <v>9780826120328</v>
      </c>
      <c r="E641" s="3" t="s">
        <v>496</v>
      </c>
      <c r="F641" s="3" t="s">
        <v>496</v>
      </c>
      <c r="G641" s="4">
        <v>42005</v>
      </c>
      <c r="H641" s="3" t="s">
        <v>20</v>
      </c>
      <c r="I641" s="3">
        <v>1</v>
      </c>
      <c r="J641" s="3"/>
      <c r="K641" s="3" t="s">
        <v>3022</v>
      </c>
      <c r="L641" s="3" t="s">
        <v>2276</v>
      </c>
      <c r="M641" s="3" t="s">
        <v>3023</v>
      </c>
      <c r="N641" s="3">
        <v>610.73030000000006</v>
      </c>
      <c r="O641" s="3" t="s">
        <v>3024</v>
      </c>
      <c r="P641" s="3" t="s">
        <v>25</v>
      </c>
      <c r="Q641" s="3" t="s">
        <v>5256</v>
      </c>
    </row>
    <row r="642" spans="1:17">
      <c r="A642" s="3">
        <v>1953259</v>
      </c>
      <c r="B642" s="3" t="s">
        <v>3025</v>
      </c>
      <c r="C642" s="3" t="str">
        <f>"9780786441426"</f>
        <v>9780786441426</v>
      </c>
      <c r="D642" s="3" t="str">
        <f>"9781476619156"</f>
        <v>9781476619156</v>
      </c>
      <c r="E642" s="3" t="s">
        <v>828</v>
      </c>
      <c r="F642" s="3" t="s">
        <v>828</v>
      </c>
      <c r="G642" s="4">
        <v>42033</v>
      </c>
      <c r="H642" s="3" t="s">
        <v>20</v>
      </c>
      <c r="I642" s="3">
        <v>2</v>
      </c>
      <c r="J642" s="3"/>
      <c r="K642" s="3" t="s">
        <v>3026</v>
      </c>
      <c r="L642" s="3" t="s">
        <v>592</v>
      </c>
      <c r="M642" s="3" t="s">
        <v>3027</v>
      </c>
      <c r="N642" s="3" t="s">
        <v>3028</v>
      </c>
      <c r="O642" s="3" t="s">
        <v>3029</v>
      </c>
      <c r="P642" s="3" t="s">
        <v>25</v>
      </c>
      <c r="Q642" s="3" t="s">
        <v>5257</v>
      </c>
    </row>
    <row r="643" spans="1:17">
      <c r="A643" s="3">
        <v>1956429</v>
      </c>
      <c r="B643" s="3" t="s">
        <v>3030</v>
      </c>
      <c r="C643" s="3" t="str">
        <f>"9781118532409"</f>
        <v>9781118532409</v>
      </c>
      <c r="D643" s="3" t="str">
        <f>"9781118532386"</f>
        <v>9781118532386</v>
      </c>
      <c r="E643" s="3" t="s">
        <v>32</v>
      </c>
      <c r="F643" s="3" t="s">
        <v>33</v>
      </c>
      <c r="G643" s="4">
        <v>42114</v>
      </c>
      <c r="H643" s="3" t="s">
        <v>20</v>
      </c>
      <c r="I643" s="3">
        <v>1</v>
      </c>
      <c r="J643" s="3"/>
      <c r="K643" s="3" t="s">
        <v>3031</v>
      </c>
      <c r="L643" s="3" t="s">
        <v>2897</v>
      </c>
      <c r="M643" s="3" t="s">
        <v>3032</v>
      </c>
      <c r="N643" s="3">
        <v>729</v>
      </c>
      <c r="O643" s="3" t="s">
        <v>3033</v>
      </c>
      <c r="P643" s="3" t="s">
        <v>25</v>
      </c>
      <c r="Q643" s="3" t="s">
        <v>5258</v>
      </c>
    </row>
    <row r="644" spans="1:17">
      <c r="A644" s="3">
        <v>1962924</v>
      </c>
      <c r="B644" s="3" t="s">
        <v>3034</v>
      </c>
      <c r="C644" s="3" t="str">
        <f>"9780786417858"</f>
        <v>9780786417858</v>
      </c>
      <c r="D644" s="3" t="str">
        <f>"9781476603223"</f>
        <v>9781476603223</v>
      </c>
      <c r="E644" s="3" t="s">
        <v>828</v>
      </c>
      <c r="F644" s="3" t="s">
        <v>828</v>
      </c>
      <c r="G644" s="4">
        <v>38223</v>
      </c>
      <c r="H644" s="3" t="s">
        <v>20</v>
      </c>
      <c r="I644" s="3">
        <v>1</v>
      </c>
      <c r="J644" s="3"/>
      <c r="K644" s="3" t="s">
        <v>3035</v>
      </c>
      <c r="L644" s="3" t="s">
        <v>3036</v>
      </c>
      <c r="M644" s="3" t="s">
        <v>3037</v>
      </c>
      <c r="N644" s="3" t="s">
        <v>3038</v>
      </c>
      <c r="O644" s="3" t="s">
        <v>3039</v>
      </c>
      <c r="P644" s="3" t="s">
        <v>25</v>
      </c>
      <c r="Q644" s="3" t="s">
        <v>5259</v>
      </c>
    </row>
    <row r="645" spans="1:17">
      <c r="A645" s="3">
        <v>1983610</v>
      </c>
      <c r="B645" s="3" t="s">
        <v>3040</v>
      </c>
      <c r="C645" s="3" t="str">
        <f>"9780786495771"</f>
        <v>9780786495771</v>
      </c>
      <c r="D645" s="3" t="str">
        <f>"9781476619569"</f>
        <v>9781476619569</v>
      </c>
      <c r="E645" s="3" t="s">
        <v>828</v>
      </c>
      <c r="F645" s="3" t="s">
        <v>828</v>
      </c>
      <c r="G645" s="4">
        <v>42075</v>
      </c>
      <c r="H645" s="3" t="s">
        <v>20</v>
      </c>
      <c r="I645" s="3">
        <v>2</v>
      </c>
      <c r="J645" s="3"/>
      <c r="K645" s="3" t="s">
        <v>3041</v>
      </c>
      <c r="L645" s="3" t="s">
        <v>406</v>
      </c>
      <c r="M645" s="3" t="s">
        <v>3042</v>
      </c>
      <c r="N645" s="3">
        <v>796.35299999999995</v>
      </c>
      <c r="O645" s="3" t="s">
        <v>3043</v>
      </c>
      <c r="P645" s="3" t="s">
        <v>25</v>
      </c>
      <c r="Q645" s="3" t="s">
        <v>5260</v>
      </c>
    </row>
    <row r="646" spans="1:17">
      <c r="A646" s="3">
        <v>1992084</v>
      </c>
      <c r="B646" s="3" t="s">
        <v>3044</v>
      </c>
      <c r="C646" s="3" t="str">
        <f>"9780786434589"</f>
        <v>9780786434589</v>
      </c>
      <c r="D646" s="3" t="str">
        <f>"9781476612812"</f>
        <v>9781476612812</v>
      </c>
      <c r="E646" s="3" t="s">
        <v>828</v>
      </c>
      <c r="F646" s="3" t="s">
        <v>828</v>
      </c>
      <c r="G646" s="4">
        <v>39478</v>
      </c>
      <c r="H646" s="3" t="s">
        <v>20</v>
      </c>
      <c r="I646" s="3">
        <v>1</v>
      </c>
      <c r="J646" s="3"/>
      <c r="K646" s="3" t="s">
        <v>3045</v>
      </c>
      <c r="L646" s="3" t="s">
        <v>22</v>
      </c>
      <c r="M646" s="3" t="s">
        <v>3046</v>
      </c>
      <c r="N646" s="3" t="s">
        <v>832</v>
      </c>
      <c r="O646" s="3" t="s">
        <v>3047</v>
      </c>
      <c r="P646" s="3" t="s">
        <v>25</v>
      </c>
      <c r="Q646" s="3" t="s">
        <v>5261</v>
      </c>
    </row>
    <row r="647" spans="1:17">
      <c r="A647" s="3">
        <v>1995291</v>
      </c>
      <c r="B647" s="3" t="s">
        <v>3048</v>
      </c>
      <c r="C647" s="3" t="str">
        <f>"9781412966702"</f>
        <v>9781412966702</v>
      </c>
      <c r="D647" s="3" t="str">
        <f>"9781452266107"</f>
        <v>9781452266107</v>
      </c>
      <c r="E647" s="3" t="s">
        <v>1873</v>
      </c>
      <c r="F647" s="3" t="s">
        <v>1873</v>
      </c>
      <c r="G647" s="4">
        <v>39905</v>
      </c>
      <c r="H647" s="3" t="s">
        <v>20</v>
      </c>
      <c r="I647" s="3">
        <v>1</v>
      </c>
      <c r="J647" s="3"/>
      <c r="K647" s="3" t="s">
        <v>3049</v>
      </c>
      <c r="L647" s="3" t="s">
        <v>3050</v>
      </c>
      <c r="M647" s="3" t="s">
        <v>3051</v>
      </c>
      <c r="N647" s="3">
        <v>790.1</v>
      </c>
      <c r="O647" s="3" t="s">
        <v>3052</v>
      </c>
      <c r="P647" s="3" t="s">
        <v>25</v>
      </c>
      <c r="Q647" s="3" t="s">
        <v>5262</v>
      </c>
    </row>
    <row r="648" spans="1:17">
      <c r="A648" s="3">
        <v>1995304</v>
      </c>
      <c r="B648" s="3" t="s">
        <v>3053</v>
      </c>
      <c r="C648" s="3" t="str">
        <f>"9781412961424"</f>
        <v>9781412961424</v>
      </c>
      <c r="D648" s="3" t="str">
        <f>"9781452266312"</f>
        <v>9781452266312</v>
      </c>
      <c r="E648" s="3" t="s">
        <v>1873</v>
      </c>
      <c r="F648" s="3" t="s">
        <v>1873</v>
      </c>
      <c r="G648" s="4">
        <v>40312</v>
      </c>
      <c r="H648" s="3" t="s">
        <v>20</v>
      </c>
      <c r="I648" s="3">
        <v>1</v>
      </c>
      <c r="J648" s="3"/>
      <c r="K648" s="3" t="s">
        <v>3054</v>
      </c>
      <c r="L648" s="3" t="s">
        <v>649</v>
      </c>
      <c r="M648" s="3" t="s">
        <v>3055</v>
      </c>
      <c r="N648" s="3">
        <v>330</v>
      </c>
      <c r="O648" s="3" t="s">
        <v>3056</v>
      </c>
      <c r="P648" s="3" t="s">
        <v>25</v>
      </c>
      <c r="Q648" s="3" t="s">
        <v>5263</v>
      </c>
    </row>
    <row r="649" spans="1:17">
      <c r="A649" s="3">
        <v>2006488</v>
      </c>
      <c r="B649" s="3" t="s">
        <v>3057</v>
      </c>
      <c r="C649" s="3" t="str">
        <f>"9789004265387"</f>
        <v>9789004265387</v>
      </c>
      <c r="D649" s="3" t="str">
        <f>"9789004291027"</f>
        <v>9789004291027</v>
      </c>
      <c r="E649" s="3" t="s">
        <v>611</v>
      </c>
      <c r="F649" s="3" t="s">
        <v>611</v>
      </c>
      <c r="G649" s="4">
        <v>42090</v>
      </c>
      <c r="H649" s="3" t="s">
        <v>20</v>
      </c>
      <c r="I649" s="3">
        <v>1</v>
      </c>
      <c r="J649" s="3" t="s">
        <v>1806</v>
      </c>
      <c r="K649" s="3" t="s">
        <v>3058</v>
      </c>
      <c r="L649" s="3" t="s">
        <v>118</v>
      </c>
      <c r="M649" s="3" t="s">
        <v>3059</v>
      </c>
      <c r="N649" s="3" t="s">
        <v>3060</v>
      </c>
      <c r="O649" s="3" t="s">
        <v>3061</v>
      </c>
      <c r="P649" s="3" t="s">
        <v>25</v>
      </c>
      <c r="Q649" s="3" t="s">
        <v>5264</v>
      </c>
    </row>
    <row r="650" spans="1:17">
      <c r="A650" s="3">
        <v>2009908</v>
      </c>
      <c r="B650" s="3" t="s">
        <v>3062</v>
      </c>
      <c r="C650" s="3" t="str">
        <f>"9780830817801"</f>
        <v>9780830817801</v>
      </c>
      <c r="D650" s="3" t="str">
        <f>"9780830867349"</f>
        <v>9780830867349</v>
      </c>
      <c r="E650" s="3" t="s">
        <v>3063</v>
      </c>
      <c r="F650" s="3" t="s">
        <v>3063</v>
      </c>
      <c r="G650" s="4">
        <v>36846</v>
      </c>
      <c r="H650" s="3" t="s">
        <v>20</v>
      </c>
      <c r="I650" s="3">
        <v>1</v>
      </c>
      <c r="J650" s="3" t="s">
        <v>3064</v>
      </c>
      <c r="K650" s="3" t="s">
        <v>3065</v>
      </c>
      <c r="L650" s="3" t="s">
        <v>118</v>
      </c>
      <c r="M650" s="3"/>
      <c r="N650" s="3">
        <v>225.3</v>
      </c>
      <c r="O650" s="3"/>
      <c r="P650" s="3" t="s">
        <v>25</v>
      </c>
      <c r="Q650" s="3" t="s">
        <v>5265</v>
      </c>
    </row>
    <row r="651" spans="1:17">
      <c r="A651" s="3">
        <v>2009910</v>
      </c>
      <c r="B651" s="3" t="s">
        <v>3066</v>
      </c>
      <c r="C651" s="3" t="str">
        <f>"9780830817818"</f>
        <v>9780830817818</v>
      </c>
      <c r="D651" s="3" t="str">
        <f>"9780830867370"</f>
        <v>9780830867370</v>
      </c>
      <c r="E651" s="3" t="s">
        <v>3063</v>
      </c>
      <c r="F651" s="3" t="s">
        <v>3063</v>
      </c>
      <c r="G651" s="4">
        <v>37603</v>
      </c>
      <c r="H651" s="3" t="s">
        <v>20</v>
      </c>
      <c r="I651" s="3">
        <v>1</v>
      </c>
      <c r="J651" s="3" t="s">
        <v>3064</v>
      </c>
      <c r="K651" s="3" t="s">
        <v>3067</v>
      </c>
      <c r="L651" s="3" t="s">
        <v>118</v>
      </c>
      <c r="M651" s="3"/>
      <c r="N651" s="3"/>
      <c r="O651" s="3"/>
      <c r="P651" s="3" t="s">
        <v>25</v>
      </c>
      <c r="Q651" s="3" t="s">
        <v>5266</v>
      </c>
    </row>
    <row r="652" spans="1:17">
      <c r="A652" s="3">
        <v>2012648</v>
      </c>
      <c r="B652" s="3" t="s">
        <v>3068</v>
      </c>
      <c r="C652" s="3" t="str">
        <f>"9780199354290"</f>
        <v>9780199354290</v>
      </c>
      <c r="D652" s="3" t="str">
        <f>"9780199354306"</f>
        <v>9780199354306</v>
      </c>
      <c r="E652" s="3" t="s">
        <v>910</v>
      </c>
      <c r="F652" s="3" t="s">
        <v>910</v>
      </c>
      <c r="G652" s="4">
        <v>42158</v>
      </c>
      <c r="H652" s="3" t="s">
        <v>20</v>
      </c>
      <c r="I652" s="3"/>
      <c r="J652" s="3" t="s">
        <v>1423</v>
      </c>
      <c r="K652" s="3" t="s">
        <v>3069</v>
      </c>
      <c r="L652" s="3" t="s">
        <v>1590</v>
      </c>
      <c r="M652" s="3" t="s">
        <v>3070</v>
      </c>
      <c r="N652" s="3" t="s">
        <v>3071</v>
      </c>
      <c r="O652" s="3" t="s">
        <v>3072</v>
      </c>
      <c r="P652" s="3" t="s">
        <v>25</v>
      </c>
      <c r="Q652" s="3" t="s">
        <v>5267</v>
      </c>
    </row>
    <row r="653" spans="1:17">
      <c r="A653" s="3">
        <v>2027190</v>
      </c>
      <c r="B653" s="3" t="s">
        <v>3073</v>
      </c>
      <c r="C653" s="3" t="str">
        <f>"9781118494066"</f>
        <v>9781118494066</v>
      </c>
      <c r="D653" s="3" t="str">
        <f>"9781118494141"</f>
        <v>9781118494141</v>
      </c>
      <c r="E653" s="3" t="s">
        <v>32</v>
      </c>
      <c r="F653" s="3" t="s">
        <v>33</v>
      </c>
      <c r="G653" s="4">
        <v>42205</v>
      </c>
      <c r="H653" s="3" t="s">
        <v>20</v>
      </c>
      <c r="I653" s="3">
        <v>1</v>
      </c>
      <c r="J653" s="3" t="s">
        <v>398</v>
      </c>
      <c r="K653" s="3" t="s">
        <v>3074</v>
      </c>
      <c r="L653" s="3" t="s">
        <v>22</v>
      </c>
      <c r="M653" s="3" t="s">
        <v>3075</v>
      </c>
      <c r="N653" s="3" t="s">
        <v>3076</v>
      </c>
      <c r="O653" s="3" t="s">
        <v>3077</v>
      </c>
      <c r="P653" s="3" t="s">
        <v>25</v>
      </c>
      <c r="Q653" s="3" t="s">
        <v>5268</v>
      </c>
    </row>
    <row r="654" spans="1:17">
      <c r="A654" s="3">
        <v>2029824</v>
      </c>
      <c r="B654" s="3" t="s">
        <v>3078</v>
      </c>
      <c r="C654" s="3" t="str">
        <f>"9780830814190"</f>
        <v>9780830814190</v>
      </c>
      <c r="D654" s="3" t="str">
        <f>"9780830866083"</f>
        <v>9780830866083</v>
      </c>
      <c r="E654" s="3" t="s">
        <v>3063</v>
      </c>
      <c r="F654" s="3" t="s">
        <v>3063</v>
      </c>
      <c r="G654" s="4">
        <v>36838</v>
      </c>
      <c r="H654" s="3" t="s">
        <v>20</v>
      </c>
      <c r="I654" s="3">
        <v>1</v>
      </c>
      <c r="J654" s="3"/>
      <c r="K654" s="3" t="s">
        <v>3079</v>
      </c>
      <c r="L654" s="3" t="s">
        <v>118</v>
      </c>
      <c r="M654" s="3"/>
      <c r="N654" s="3"/>
      <c r="O654" s="3"/>
      <c r="P654" s="3" t="s">
        <v>25</v>
      </c>
      <c r="Q654" s="3" t="s">
        <v>5269</v>
      </c>
    </row>
    <row r="655" spans="1:17">
      <c r="A655" s="3">
        <v>2033922</v>
      </c>
      <c r="B655" s="3" t="s">
        <v>3080</v>
      </c>
      <c r="C655" s="3" t="str">
        <f>"9780830814497"</f>
        <v>9780830814497</v>
      </c>
      <c r="D655" s="3" t="str">
        <f>"9780830867073"</f>
        <v>9780830867073</v>
      </c>
      <c r="E655" s="3" t="s">
        <v>3063</v>
      </c>
      <c r="F655" s="3" t="s">
        <v>3063</v>
      </c>
      <c r="G655" s="4">
        <v>36276</v>
      </c>
      <c r="H655" s="3" t="s">
        <v>20</v>
      </c>
      <c r="I655" s="3">
        <v>1</v>
      </c>
      <c r="J655" s="3" t="s">
        <v>3081</v>
      </c>
      <c r="K655" s="3" t="s">
        <v>3082</v>
      </c>
      <c r="L655" s="3" t="s">
        <v>118</v>
      </c>
      <c r="M655" s="3"/>
      <c r="N655" s="3" t="s">
        <v>3083</v>
      </c>
      <c r="O655" s="3"/>
      <c r="P655" s="3" t="s">
        <v>25</v>
      </c>
      <c r="Q655" s="3" t="s">
        <v>5270</v>
      </c>
    </row>
    <row r="656" spans="1:17">
      <c r="A656" s="3">
        <v>2033940</v>
      </c>
      <c r="B656" s="3" t="s">
        <v>3084</v>
      </c>
      <c r="C656" s="3" t="str">
        <f>"9780830827022"</f>
        <v>9780830827022</v>
      </c>
      <c r="D656" s="3" t="str">
        <f>"9780830876532"</f>
        <v>9780830876532</v>
      </c>
      <c r="E656" s="3" t="s">
        <v>3063</v>
      </c>
      <c r="F656" s="3" t="s">
        <v>3063</v>
      </c>
      <c r="G656" s="4">
        <v>40045</v>
      </c>
      <c r="H656" s="3" t="s">
        <v>20</v>
      </c>
      <c r="I656" s="3">
        <v>1</v>
      </c>
      <c r="J656" s="3" t="s">
        <v>3085</v>
      </c>
      <c r="K656" s="3" t="s">
        <v>3086</v>
      </c>
      <c r="L656" s="3" t="s">
        <v>118</v>
      </c>
      <c r="M656" s="3" t="s">
        <v>3087</v>
      </c>
      <c r="N656" s="3">
        <v>239</v>
      </c>
      <c r="O656" s="3" t="s">
        <v>3088</v>
      </c>
      <c r="P656" s="3" t="s">
        <v>25</v>
      </c>
      <c r="Q656" s="3" t="s">
        <v>5271</v>
      </c>
    </row>
    <row r="657" spans="1:17">
      <c r="A657" s="3">
        <v>2041979</v>
      </c>
      <c r="B657" s="3" t="s">
        <v>3089</v>
      </c>
      <c r="C657" s="3" t="str">
        <f>"9781412936361"</f>
        <v>9781412936361</v>
      </c>
      <c r="D657" s="3" t="str">
        <f>"9781452266039"</f>
        <v>9781452266039</v>
      </c>
      <c r="E657" s="3" t="s">
        <v>1873</v>
      </c>
      <c r="F657" s="3" t="s">
        <v>1873</v>
      </c>
      <c r="G657" s="4">
        <v>39778</v>
      </c>
      <c r="H657" s="3" t="s">
        <v>20</v>
      </c>
      <c r="I657" s="3">
        <v>1</v>
      </c>
      <c r="J657" s="3"/>
      <c r="K657" s="3" t="s">
        <v>3090</v>
      </c>
      <c r="L657" s="3" t="s">
        <v>118</v>
      </c>
      <c r="M657" s="3" t="s">
        <v>3091</v>
      </c>
      <c r="N657" s="3">
        <v>299.60300000000001</v>
      </c>
      <c r="O657" s="3" t="s">
        <v>3092</v>
      </c>
      <c r="P657" s="3" t="s">
        <v>25</v>
      </c>
      <c r="Q657" s="3" t="s">
        <v>5272</v>
      </c>
    </row>
    <row r="658" spans="1:17">
      <c r="A658" s="3">
        <v>2044614</v>
      </c>
      <c r="B658" s="3" t="s">
        <v>3093</v>
      </c>
      <c r="C658" s="3" t="str">
        <f>"9780786477289"</f>
        <v>9780786477289</v>
      </c>
      <c r="D658" s="3" t="str">
        <f>"9781476605371"</f>
        <v>9781476605371</v>
      </c>
      <c r="E658" s="3" t="s">
        <v>828</v>
      </c>
      <c r="F658" s="3" t="s">
        <v>828</v>
      </c>
      <c r="G658" s="4">
        <v>41450</v>
      </c>
      <c r="H658" s="3" t="s">
        <v>20</v>
      </c>
      <c r="I658" s="3">
        <v>1</v>
      </c>
      <c r="J658" s="3"/>
      <c r="K658" s="3" t="s">
        <v>3094</v>
      </c>
      <c r="L658" s="3" t="s">
        <v>43</v>
      </c>
      <c r="M658" s="3" t="s">
        <v>3095</v>
      </c>
      <c r="N658" s="3">
        <v>782.10299999999995</v>
      </c>
      <c r="O658" s="3" t="s">
        <v>3096</v>
      </c>
      <c r="P658" s="3" t="s">
        <v>25</v>
      </c>
      <c r="Q658" s="3" t="s">
        <v>5273</v>
      </c>
    </row>
    <row r="659" spans="1:17">
      <c r="A659" s="3">
        <v>2048505</v>
      </c>
      <c r="B659" s="3" t="s">
        <v>3097</v>
      </c>
      <c r="C659" s="3" t="str">
        <f>"9780786477166"</f>
        <v>9780786477166</v>
      </c>
      <c r="D659" s="3" t="str">
        <f>"9781476608556"</f>
        <v>9781476608556</v>
      </c>
      <c r="E659" s="3" t="s">
        <v>828</v>
      </c>
      <c r="F659" s="3" t="s">
        <v>828</v>
      </c>
      <c r="G659" s="4">
        <v>41445</v>
      </c>
      <c r="H659" s="3" t="s">
        <v>20</v>
      </c>
      <c r="I659" s="3">
        <v>1</v>
      </c>
      <c r="J659" s="3"/>
      <c r="K659" s="3" t="s">
        <v>3098</v>
      </c>
      <c r="L659" s="3" t="s">
        <v>225</v>
      </c>
      <c r="M659" s="3" t="s">
        <v>3099</v>
      </c>
      <c r="N659" s="3">
        <v>394.26340299999998</v>
      </c>
      <c r="O659" s="3" t="s">
        <v>3100</v>
      </c>
      <c r="P659" s="3" t="s">
        <v>25</v>
      </c>
      <c r="Q659" s="3" t="s">
        <v>5274</v>
      </c>
    </row>
    <row r="660" spans="1:17">
      <c r="A660" s="3">
        <v>2050705</v>
      </c>
      <c r="B660" s="3" t="s">
        <v>3101</v>
      </c>
      <c r="C660" s="3" t="str">
        <f>"9780830827312"</f>
        <v>9780830827312</v>
      </c>
      <c r="D660" s="3" t="str">
        <f>"9780830866137"</f>
        <v>9780830866137</v>
      </c>
      <c r="E660" s="3" t="s">
        <v>3063</v>
      </c>
      <c r="F660" s="3" t="s">
        <v>3063</v>
      </c>
      <c r="G660" s="4">
        <v>38785</v>
      </c>
      <c r="H660" s="3" t="s">
        <v>20</v>
      </c>
      <c r="I660" s="3">
        <v>1</v>
      </c>
      <c r="J660" s="3"/>
      <c r="K660" s="3" t="s">
        <v>3102</v>
      </c>
      <c r="L660" s="3" t="s">
        <v>118</v>
      </c>
      <c r="M660" s="3" t="s">
        <v>3103</v>
      </c>
      <c r="N660" s="3" t="s">
        <v>3104</v>
      </c>
      <c r="O660" s="3" t="s">
        <v>3105</v>
      </c>
      <c r="P660" s="3" t="s">
        <v>25</v>
      </c>
      <c r="Q660" s="3" t="s">
        <v>5275</v>
      </c>
    </row>
    <row r="661" spans="1:17">
      <c r="A661" s="3">
        <v>2050888</v>
      </c>
      <c r="B661" s="3" t="s">
        <v>3106</v>
      </c>
      <c r="C661" s="3" t="str">
        <f>"9781783161645"</f>
        <v>9781783161645</v>
      </c>
      <c r="D661" s="3" t="str">
        <f>"9781783161652"</f>
        <v>9781783161652</v>
      </c>
      <c r="E661" s="3" t="s">
        <v>3107</v>
      </c>
      <c r="F661" s="3" t="s">
        <v>3107</v>
      </c>
      <c r="G661" s="4">
        <v>42050</v>
      </c>
      <c r="H661" s="3" t="s">
        <v>20</v>
      </c>
      <c r="I661" s="3">
        <v>1</v>
      </c>
      <c r="J661" s="3"/>
      <c r="K661" s="3" t="s">
        <v>3108</v>
      </c>
      <c r="L661" s="3" t="s">
        <v>1157</v>
      </c>
      <c r="M661" s="3" t="s">
        <v>3109</v>
      </c>
      <c r="N661" s="3">
        <v>914.29003</v>
      </c>
      <c r="O661" s="3" t="s">
        <v>3110</v>
      </c>
      <c r="P661" s="3" t="s">
        <v>25</v>
      </c>
      <c r="Q661" s="3" t="s">
        <v>5276</v>
      </c>
    </row>
    <row r="662" spans="1:17">
      <c r="A662" s="3">
        <v>2053970</v>
      </c>
      <c r="B662" s="3" t="s">
        <v>3111</v>
      </c>
      <c r="C662" s="3" t="str">
        <f>"9780786446933"</f>
        <v>9780786446933</v>
      </c>
      <c r="D662" s="3" t="str">
        <f>"9781476609058"</f>
        <v>9781476609058</v>
      </c>
      <c r="E662" s="3" t="s">
        <v>828</v>
      </c>
      <c r="F662" s="3" t="s">
        <v>828</v>
      </c>
      <c r="G662" s="4">
        <v>40078</v>
      </c>
      <c r="H662" s="3" t="s">
        <v>20</v>
      </c>
      <c r="I662" s="3">
        <v>1</v>
      </c>
      <c r="J662" s="3"/>
      <c r="K662" s="3" t="s">
        <v>3112</v>
      </c>
      <c r="L662" s="3" t="s">
        <v>43</v>
      </c>
      <c r="M662" s="3" t="s">
        <v>3113</v>
      </c>
      <c r="N662" s="3" t="s">
        <v>3114</v>
      </c>
      <c r="O662" s="3" t="s">
        <v>3115</v>
      </c>
      <c r="P662" s="3" t="s">
        <v>25</v>
      </c>
      <c r="Q662" s="3" t="s">
        <v>5277</v>
      </c>
    </row>
    <row r="663" spans="1:17">
      <c r="A663" s="3">
        <v>2053971</v>
      </c>
      <c r="B663" s="3" t="s">
        <v>3116</v>
      </c>
      <c r="C663" s="3" t="str">
        <f>"9780786466160"</f>
        <v>9780786466160</v>
      </c>
      <c r="D663" s="3" t="str">
        <f>"9781476609294"</f>
        <v>9781476609294</v>
      </c>
      <c r="E663" s="3" t="s">
        <v>828</v>
      </c>
      <c r="F663" s="3" t="s">
        <v>828</v>
      </c>
      <c r="G663" s="4">
        <v>40855</v>
      </c>
      <c r="H663" s="3" t="s">
        <v>20</v>
      </c>
      <c r="I663" s="3">
        <v>1</v>
      </c>
      <c r="J663" s="3"/>
      <c r="K663" s="3" t="s">
        <v>3117</v>
      </c>
      <c r="L663" s="3" t="s">
        <v>58</v>
      </c>
      <c r="M663" s="3" t="s">
        <v>3118</v>
      </c>
      <c r="N663" s="3" t="s">
        <v>3119</v>
      </c>
      <c r="O663" s="3" t="s">
        <v>3120</v>
      </c>
      <c r="P663" s="3" t="s">
        <v>25</v>
      </c>
      <c r="Q663" s="3" t="s">
        <v>5278</v>
      </c>
    </row>
    <row r="664" spans="1:17">
      <c r="A664" s="3">
        <v>2055671</v>
      </c>
      <c r="B664" s="3" t="s">
        <v>3121</v>
      </c>
      <c r="C664" s="3" t="str">
        <f>"9780199307173"</f>
        <v>9780199307173</v>
      </c>
      <c r="D664" s="3" t="str">
        <f>"9780199307180"</f>
        <v>9780199307180</v>
      </c>
      <c r="E664" s="3" t="s">
        <v>910</v>
      </c>
      <c r="F664" s="3" t="s">
        <v>910</v>
      </c>
      <c r="G664" s="4">
        <v>42216</v>
      </c>
      <c r="H664" s="3" t="s">
        <v>20</v>
      </c>
      <c r="I664" s="3"/>
      <c r="J664" s="3" t="s">
        <v>3122</v>
      </c>
      <c r="K664" s="3" t="s">
        <v>3123</v>
      </c>
      <c r="L664" s="3" t="s">
        <v>204</v>
      </c>
      <c r="M664" s="3" t="s">
        <v>3124</v>
      </c>
      <c r="N664" s="3" t="s">
        <v>3125</v>
      </c>
      <c r="O664" s="3" t="s">
        <v>3126</v>
      </c>
      <c r="P664" s="3" t="s">
        <v>25</v>
      </c>
      <c r="Q664" s="3" t="s">
        <v>5279</v>
      </c>
    </row>
    <row r="665" spans="1:17">
      <c r="A665" s="3">
        <v>2056410</v>
      </c>
      <c r="B665" s="3" t="s">
        <v>3127</v>
      </c>
      <c r="C665" s="3" t="str">
        <f>"9783110291841"</f>
        <v>9783110291841</v>
      </c>
      <c r="D665" s="3" t="str">
        <f>"9783110292022"</f>
        <v>9783110292022</v>
      </c>
      <c r="E665" s="3" t="s">
        <v>2111</v>
      </c>
      <c r="F665" s="3" t="s">
        <v>2112</v>
      </c>
      <c r="G665" s="4">
        <v>42181</v>
      </c>
      <c r="H665" s="3" t="s">
        <v>20</v>
      </c>
      <c r="I665" s="3"/>
      <c r="J665" s="3" t="s">
        <v>2113</v>
      </c>
      <c r="K665" s="3" t="s">
        <v>3128</v>
      </c>
      <c r="L665" s="3" t="s">
        <v>504</v>
      </c>
      <c r="M665" s="3" t="s">
        <v>3129</v>
      </c>
      <c r="N665" s="3">
        <v>410</v>
      </c>
      <c r="O665" s="3" t="s">
        <v>3130</v>
      </c>
      <c r="P665" s="3" t="s">
        <v>25</v>
      </c>
      <c r="Q665" s="3" t="s">
        <v>5280</v>
      </c>
    </row>
    <row r="666" spans="1:17">
      <c r="A666" s="3">
        <v>2065468</v>
      </c>
      <c r="B666" s="3" t="s">
        <v>3131</v>
      </c>
      <c r="C666" s="3" t="str">
        <f>"9781846740824"</f>
        <v>9781846740824</v>
      </c>
      <c r="D666" s="3" t="str">
        <f>"9781846748295"</f>
        <v>9781846748295</v>
      </c>
      <c r="E666" s="3" t="s">
        <v>3132</v>
      </c>
      <c r="F666" s="3" t="s">
        <v>3132</v>
      </c>
      <c r="G666" s="4">
        <v>39560</v>
      </c>
      <c r="H666" s="3" t="s">
        <v>20</v>
      </c>
      <c r="I666" s="3">
        <v>1</v>
      </c>
      <c r="J666" s="3"/>
      <c r="K666" s="3" t="s">
        <v>3133</v>
      </c>
      <c r="L666" s="3" t="s">
        <v>2897</v>
      </c>
      <c r="M666" s="3" t="s">
        <v>3134</v>
      </c>
      <c r="N666" s="3">
        <v>720.94100000000003</v>
      </c>
      <c r="O666" s="3" t="s">
        <v>3135</v>
      </c>
      <c r="P666" s="3" t="s">
        <v>25</v>
      </c>
      <c r="Q666" s="3" t="s">
        <v>5281</v>
      </c>
    </row>
    <row r="667" spans="1:17">
      <c r="A667" s="3">
        <v>2066548</v>
      </c>
      <c r="B667" s="3" t="s">
        <v>3136</v>
      </c>
      <c r="C667" s="3" t="str">
        <f>"9780786466207"</f>
        <v>9780786466207</v>
      </c>
      <c r="D667" s="3" t="str">
        <f>"9781476604176"</f>
        <v>9781476604176</v>
      </c>
      <c r="E667" s="3" t="s">
        <v>828</v>
      </c>
      <c r="F667" s="3" t="s">
        <v>828</v>
      </c>
      <c r="G667" s="4">
        <v>40909</v>
      </c>
      <c r="H667" s="3" t="s">
        <v>20</v>
      </c>
      <c r="I667" s="3">
        <v>1</v>
      </c>
      <c r="J667" s="3"/>
      <c r="K667" s="3" t="s">
        <v>3137</v>
      </c>
      <c r="L667" s="3" t="s">
        <v>64</v>
      </c>
      <c r="M667" s="3" t="s">
        <v>3138</v>
      </c>
      <c r="N667" s="3">
        <v>363.25097299999999</v>
      </c>
      <c r="O667" s="3" t="s">
        <v>3139</v>
      </c>
      <c r="P667" s="3" t="s">
        <v>25</v>
      </c>
      <c r="Q667" s="3" t="s">
        <v>5282</v>
      </c>
    </row>
    <row r="668" spans="1:17">
      <c r="A668" s="3">
        <v>2066553</v>
      </c>
      <c r="B668" s="3" t="s">
        <v>3140</v>
      </c>
      <c r="C668" s="3" t="str">
        <f>"9780786446889"</f>
        <v>9780786446889</v>
      </c>
      <c r="D668" s="3" t="str">
        <f>"9781476604299"</f>
        <v>9781476604299</v>
      </c>
      <c r="E668" s="3" t="s">
        <v>828</v>
      </c>
      <c r="F668" s="3" t="s">
        <v>828</v>
      </c>
      <c r="G668" s="4">
        <v>40132</v>
      </c>
      <c r="H668" s="3" t="s">
        <v>20</v>
      </c>
      <c r="I668" s="3">
        <v>1</v>
      </c>
      <c r="J668" s="3"/>
      <c r="K668" s="3" t="s">
        <v>3141</v>
      </c>
      <c r="L668" s="3" t="s">
        <v>406</v>
      </c>
      <c r="M668" s="3" t="s">
        <v>3142</v>
      </c>
      <c r="N668" s="3">
        <v>796.35709220000001</v>
      </c>
      <c r="O668" s="3" t="s">
        <v>3143</v>
      </c>
      <c r="P668" s="3" t="s">
        <v>25</v>
      </c>
      <c r="Q668" s="3" t="s">
        <v>5283</v>
      </c>
    </row>
    <row r="669" spans="1:17">
      <c r="A669" s="3">
        <v>2066568</v>
      </c>
      <c r="B669" s="3" t="s">
        <v>3144</v>
      </c>
      <c r="C669" s="3" t="str">
        <f>"9780786447039"</f>
        <v>9780786447039</v>
      </c>
      <c r="D669" s="3" t="str">
        <f>"9781476611129"</f>
        <v>9781476611129</v>
      </c>
      <c r="E669" s="3" t="s">
        <v>828</v>
      </c>
      <c r="F669" s="3" t="s">
        <v>828</v>
      </c>
      <c r="G669" s="4">
        <v>40665</v>
      </c>
      <c r="H669" s="3" t="s">
        <v>20</v>
      </c>
      <c r="I669" s="3">
        <v>1</v>
      </c>
      <c r="J669" s="3"/>
      <c r="K669" s="3" t="s">
        <v>2527</v>
      </c>
      <c r="L669" s="3" t="s">
        <v>406</v>
      </c>
      <c r="M669" s="3" t="s">
        <v>3145</v>
      </c>
      <c r="N669" s="3" t="s">
        <v>3146</v>
      </c>
      <c r="O669" s="3" t="s">
        <v>3147</v>
      </c>
      <c r="P669" s="3" t="s">
        <v>25</v>
      </c>
      <c r="Q669" s="3" t="s">
        <v>5284</v>
      </c>
    </row>
    <row r="670" spans="1:17">
      <c r="A670" s="3">
        <v>2068534</v>
      </c>
      <c r="B670" s="3" t="s">
        <v>3148</v>
      </c>
      <c r="C670" s="3" t="str">
        <f>"9780470659281"</f>
        <v>9780470659281</v>
      </c>
      <c r="D670" s="3" t="str">
        <f>"9781118883549"</f>
        <v>9781118883549</v>
      </c>
      <c r="E670" s="3" t="s">
        <v>32</v>
      </c>
      <c r="F670" s="3" t="s">
        <v>33</v>
      </c>
      <c r="G670" s="4">
        <v>42233</v>
      </c>
      <c r="H670" s="3" t="s">
        <v>20</v>
      </c>
      <c r="I670" s="3">
        <v>1</v>
      </c>
      <c r="J670" s="3" t="s">
        <v>1706</v>
      </c>
      <c r="K670" s="3" t="s">
        <v>3149</v>
      </c>
      <c r="L670" s="3" t="s">
        <v>43</v>
      </c>
      <c r="M670" s="3" t="s">
        <v>3150</v>
      </c>
      <c r="N670" s="3">
        <v>791.43095125000002</v>
      </c>
      <c r="O670" s="3" t="s">
        <v>3151</v>
      </c>
      <c r="P670" s="3" t="s">
        <v>25</v>
      </c>
      <c r="Q670" s="3" t="s">
        <v>5285</v>
      </c>
    </row>
    <row r="671" spans="1:17">
      <c r="A671" s="3">
        <v>2070517</v>
      </c>
      <c r="B671" s="3" t="s">
        <v>3152</v>
      </c>
      <c r="C671" s="3" t="str">
        <f>"9780786440429"</f>
        <v>9780786440429</v>
      </c>
      <c r="D671" s="3" t="str">
        <f>"9781476606736"</f>
        <v>9781476606736</v>
      </c>
      <c r="E671" s="3" t="s">
        <v>828</v>
      </c>
      <c r="F671" s="3" t="s">
        <v>828</v>
      </c>
      <c r="G671" s="4">
        <v>39745</v>
      </c>
      <c r="H671" s="3" t="s">
        <v>20</v>
      </c>
      <c r="I671" s="3">
        <v>1</v>
      </c>
      <c r="J671" s="3"/>
      <c r="K671" s="3" t="s">
        <v>3153</v>
      </c>
      <c r="L671" s="3" t="s">
        <v>649</v>
      </c>
      <c r="M671" s="3" t="s">
        <v>3154</v>
      </c>
      <c r="N671" s="3" t="s">
        <v>3155</v>
      </c>
      <c r="O671" s="3" t="s">
        <v>3156</v>
      </c>
      <c r="P671" s="3" t="s">
        <v>25</v>
      </c>
      <c r="Q671" s="3" t="s">
        <v>5286</v>
      </c>
    </row>
    <row r="672" spans="1:17">
      <c r="A672" s="3">
        <v>2071261</v>
      </c>
      <c r="B672" s="3" t="s">
        <v>3157</v>
      </c>
      <c r="C672" s="3" t="str">
        <f>"9780190217266"</f>
        <v>9780190217266</v>
      </c>
      <c r="D672" s="3" t="str">
        <f>"9780190217273"</f>
        <v>9780190217273</v>
      </c>
      <c r="E672" s="3" t="s">
        <v>910</v>
      </c>
      <c r="F672" s="3" t="s">
        <v>910</v>
      </c>
      <c r="G672" s="4">
        <v>42240</v>
      </c>
      <c r="H672" s="3" t="s">
        <v>20</v>
      </c>
      <c r="I672" s="3"/>
      <c r="J672" s="3" t="s">
        <v>1423</v>
      </c>
      <c r="K672" s="3" t="s">
        <v>3158</v>
      </c>
      <c r="L672" s="3" t="s">
        <v>3159</v>
      </c>
      <c r="M672" s="3" t="s">
        <v>3160</v>
      </c>
      <c r="N672" s="3">
        <v>363.32499999999999</v>
      </c>
      <c r="O672" s="3" t="s">
        <v>3161</v>
      </c>
      <c r="P672" s="3" t="s">
        <v>25</v>
      </c>
      <c r="Q672" s="3" t="s">
        <v>5287</v>
      </c>
    </row>
    <row r="673" spans="1:17">
      <c r="A673" s="3">
        <v>2077534</v>
      </c>
      <c r="B673" s="3" t="s">
        <v>3162</v>
      </c>
      <c r="C673" s="3" t="str">
        <f>"9781444337532"</f>
        <v>9781444337532</v>
      </c>
      <c r="D673" s="3" t="str">
        <f>"9781118997413"</f>
        <v>9781118997413</v>
      </c>
      <c r="E673" s="3" t="s">
        <v>32</v>
      </c>
      <c r="F673" s="3" t="s">
        <v>33</v>
      </c>
      <c r="G673" s="4">
        <v>42255</v>
      </c>
      <c r="H673" s="3" t="s">
        <v>20</v>
      </c>
      <c r="I673" s="3">
        <v>1</v>
      </c>
      <c r="J673" s="3" t="s">
        <v>111</v>
      </c>
      <c r="K673" s="3" t="s">
        <v>3163</v>
      </c>
      <c r="L673" s="3" t="s">
        <v>532</v>
      </c>
      <c r="M673" s="3" t="s">
        <v>3164</v>
      </c>
      <c r="N673" s="3">
        <v>370.93799999999999</v>
      </c>
      <c r="O673" s="3" t="s">
        <v>3165</v>
      </c>
      <c r="P673" s="3" t="s">
        <v>25</v>
      </c>
      <c r="Q673" s="3" t="s">
        <v>5288</v>
      </c>
    </row>
    <row r="674" spans="1:17">
      <c r="A674" s="3">
        <v>2079971</v>
      </c>
      <c r="B674" s="3" t="s">
        <v>3166</v>
      </c>
      <c r="C674" s="3" t="str">
        <f>"9780910627016"</f>
        <v>9780910627016</v>
      </c>
      <c r="D674" s="3" t="str">
        <f>"9781601384577"</f>
        <v>9781601384577</v>
      </c>
      <c r="E674" s="3" t="s">
        <v>3167</v>
      </c>
      <c r="F674" s="3" t="s">
        <v>3168</v>
      </c>
      <c r="G674" s="4">
        <v>38729</v>
      </c>
      <c r="H674" s="3" t="s">
        <v>20</v>
      </c>
      <c r="I674" s="3"/>
      <c r="J674" s="3"/>
      <c r="K674" s="3" t="s">
        <v>3169</v>
      </c>
      <c r="L674" s="3" t="s">
        <v>649</v>
      </c>
      <c r="M674" s="3" t="s">
        <v>3170</v>
      </c>
      <c r="N674" s="3">
        <v>333.33030000000002</v>
      </c>
      <c r="O674" s="3" t="s">
        <v>3171</v>
      </c>
      <c r="P674" s="3" t="s">
        <v>25</v>
      </c>
      <c r="Q674" s="3" t="s">
        <v>5289</v>
      </c>
    </row>
    <row r="675" spans="1:17">
      <c r="A675" s="3">
        <v>2080033</v>
      </c>
      <c r="B675" s="3" t="s">
        <v>3172</v>
      </c>
      <c r="C675" s="3" t="str">
        <f>"9781601380142"</f>
        <v>9781601380142</v>
      </c>
      <c r="D675" s="3" t="str">
        <f>"9781601387059"</f>
        <v>9781601387059</v>
      </c>
      <c r="E675" s="3" t="s">
        <v>3167</v>
      </c>
      <c r="F675" s="3" t="s">
        <v>3168</v>
      </c>
      <c r="G675" s="4">
        <v>40660</v>
      </c>
      <c r="H675" s="3" t="s">
        <v>20</v>
      </c>
      <c r="I675" s="3"/>
      <c r="J675" s="3"/>
      <c r="K675" s="3" t="s">
        <v>3173</v>
      </c>
      <c r="L675" s="3" t="s">
        <v>649</v>
      </c>
      <c r="M675" s="3" t="s">
        <v>3174</v>
      </c>
      <c r="N675" s="3" t="s">
        <v>3175</v>
      </c>
      <c r="O675" s="3" t="s">
        <v>3176</v>
      </c>
      <c r="P675" s="3" t="s">
        <v>25</v>
      </c>
      <c r="Q675" s="3" t="s">
        <v>5290</v>
      </c>
    </row>
    <row r="676" spans="1:17">
      <c r="A676" s="3">
        <v>2080049</v>
      </c>
      <c r="B676" s="3" t="s">
        <v>3177</v>
      </c>
      <c r="C676" s="3" t="str">
        <f>"9781601380388"</f>
        <v>9781601380388</v>
      </c>
      <c r="D676" s="3" t="str">
        <f>"9781601381781"</f>
        <v>9781601381781</v>
      </c>
      <c r="E676" s="3" t="s">
        <v>3167</v>
      </c>
      <c r="F676" s="3" t="s">
        <v>3168</v>
      </c>
      <c r="G676" s="4">
        <v>39115</v>
      </c>
      <c r="H676" s="3" t="s">
        <v>20</v>
      </c>
      <c r="I676" s="3"/>
      <c r="J676" s="3"/>
      <c r="K676" s="3" t="s">
        <v>3178</v>
      </c>
      <c r="L676" s="3" t="s">
        <v>649</v>
      </c>
      <c r="M676" s="3" t="s">
        <v>3179</v>
      </c>
      <c r="N676" s="3">
        <v>332.60300000000001</v>
      </c>
      <c r="O676" s="3" t="s">
        <v>3180</v>
      </c>
      <c r="P676" s="3" t="s">
        <v>25</v>
      </c>
      <c r="Q676" s="3" t="s">
        <v>5291</v>
      </c>
    </row>
    <row r="677" spans="1:17">
      <c r="A677" s="3">
        <v>2080108</v>
      </c>
      <c r="B677" s="3" t="s">
        <v>3181</v>
      </c>
      <c r="C677" s="3" t="str">
        <f>"9781601382375"</f>
        <v>9781601382375</v>
      </c>
      <c r="D677" s="3" t="str">
        <f>"9781601387158"</f>
        <v>9781601387158</v>
      </c>
      <c r="E677" s="3" t="s">
        <v>3167</v>
      </c>
      <c r="F677" s="3" t="s">
        <v>3168</v>
      </c>
      <c r="G677" s="4">
        <v>40573</v>
      </c>
      <c r="H677" s="3" t="s">
        <v>20</v>
      </c>
      <c r="I677" s="3"/>
      <c r="J677" s="3"/>
      <c r="K677" s="3" t="s">
        <v>3182</v>
      </c>
      <c r="L677" s="3" t="s">
        <v>3183</v>
      </c>
      <c r="M677" s="3" t="s">
        <v>3184</v>
      </c>
      <c r="N677" s="3">
        <v>368.00299999999999</v>
      </c>
      <c r="O677" s="3" t="s">
        <v>3185</v>
      </c>
      <c r="P677" s="3" t="s">
        <v>25</v>
      </c>
      <c r="Q677" s="3" t="s">
        <v>5292</v>
      </c>
    </row>
    <row r="678" spans="1:17">
      <c r="A678" s="3">
        <v>2080118</v>
      </c>
      <c r="B678" s="3" t="s">
        <v>3186</v>
      </c>
      <c r="C678" s="3" t="str">
        <f>"9781601382481"</f>
        <v>9781601382481</v>
      </c>
      <c r="D678" s="3" t="str">
        <f>"9781601387172"</f>
        <v>9781601387172</v>
      </c>
      <c r="E678" s="3" t="s">
        <v>3167</v>
      </c>
      <c r="F678" s="3" t="s">
        <v>3168</v>
      </c>
      <c r="G678" s="4">
        <v>40592</v>
      </c>
      <c r="H678" s="3" t="s">
        <v>20</v>
      </c>
      <c r="I678" s="3"/>
      <c r="J678" s="3"/>
      <c r="K678" s="3" t="s">
        <v>3187</v>
      </c>
      <c r="L678" s="3" t="s">
        <v>36</v>
      </c>
      <c r="M678" s="3" t="s">
        <v>3188</v>
      </c>
      <c r="N678" s="3" t="s">
        <v>3189</v>
      </c>
      <c r="O678" s="3" t="s">
        <v>3190</v>
      </c>
      <c r="P678" s="3" t="s">
        <v>25</v>
      </c>
      <c r="Q678" s="3" t="s">
        <v>5293</v>
      </c>
    </row>
    <row r="679" spans="1:17">
      <c r="A679" s="3">
        <v>2080169</v>
      </c>
      <c r="B679" s="3" t="s">
        <v>3191</v>
      </c>
      <c r="C679" s="3" t="str">
        <f>"9781601383259"</f>
        <v>9781601383259</v>
      </c>
      <c r="D679" s="3" t="str">
        <f>"9781601387424"</f>
        <v>9781601387424</v>
      </c>
      <c r="E679" s="3" t="s">
        <v>3167</v>
      </c>
      <c r="F679" s="3" t="s">
        <v>3168</v>
      </c>
      <c r="G679" s="4">
        <v>40497</v>
      </c>
      <c r="H679" s="3" t="s">
        <v>20</v>
      </c>
      <c r="I679" s="3"/>
      <c r="J679" s="3"/>
      <c r="K679" s="3" t="s">
        <v>3192</v>
      </c>
      <c r="L679" s="3" t="s">
        <v>36</v>
      </c>
      <c r="M679" s="3" t="s">
        <v>3193</v>
      </c>
      <c r="N679" s="3">
        <v>657.03</v>
      </c>
      <c r="O679" s="3" t="s">
        <v>3194</v>
      </c>
      <c r="P679" s="3" t="s">
        <v>25</v>
      </c>
      <c r="Q679" s="3" t="s">
        <v>5294</v>
      </c>
    </row>
    <row r="680" spans="1:17">
      <c r="A680" s="3">
        <v>2084444</v>
      </c>
      <c r="B680" s="3" t="s">
        <v>3195</v>
      </c>
      <c r="C680" s="3" t="str">
        <f>"9780786495405"</f>
        <v>9780786495405</v>
      </c>
      <c r="D680" s="3" t="str">
        <f>"9781476618258"</f>
        <v>9781476618258</v>
      </c>
      <c r="E680" s="3" t="s">
        <v>828</v>
      </c>
      <c r="F680" s="3" t="s">
        <v>828</v>
      </c>
      <c r="G680" s="4">
        <v>42154</v>
      </c>
      <c r="H680" s="3" t="s">
        <v>20</v>
      </c>
      <c r="I680" s="3">
        <v>1</v>
      </c>
      <c r="J680" s="3"/>
      <c r="K680" s="3" t="s">
        <v>3196</v>
      </c>
      <c r="L680" s="3" t="s">
        <v>64</v>
      </c>
      <c r="M680" s="3" t="s">
        <v>3197</v>
      </c>
      <c r="N680" s="3" t="s">
        <v>3198</v>
      </c>
      <c r="O680" s="3" t="s">
        <v>3199</v>
      </c>
      <c r="P680" s="3" t="s">
        <v>25</v>
      </c>
      <c r="Q680" s="3" t="s">
        <v>5295</v>
      </c>
    </row>
    <row r="681" spans="1:17">
      <c r="A681" s="3">
        <v>2089252</v>
      </c>
      <c r="B681" s="3" t="s">
        <v>3200</v>
      </c>
      <c r="C681" s="3" t="str">
        <f>"9780830815623"</f>
        <v>9780830815623</v>
      </c>
      <c r="D681" s="3" t="str">
        <f>"9780830896301"</f>
        <v>9780830896301</v>
      </c>
      <c r="E681" s="3" t="s">
        <v>3063</v>
      </c>
      <c r="F681" s="3" t="s">
        <v>3063</v>
      </c>
      <c r="G681" s="4">
        <v>39551</v>
      </c>
      <c r="H681" s="3" t="s">
        <v>20</v>
      </c>
      <c r="I681" s="3">
        <v>1</v>
      </c>
      <c r="J681" s="3"/>
      <c r="K681" s="3" t="s">
        <v>3201</v>
      </c>
      <c r="L681" s="3" t="s">
        <v>118</v>
      </c>
      <c r="M681" s="3" t="s">
        <v>3202</v>
      </c>
      <c r="N681" s="3" t="s">
        <v>3203</v>
      </c>
      <c r="O681" s="3" t="s">
        <v>3204</v>
      </c>
      <c r="P681" s="3" t="s">
        <v>25</v>
      </c>
      <c r="Q681" s="3" t="s">
        <v>5296</v>
      </c>
    </row>
    <row r="682" spans="1:17">
      <c r="A682" s="3">
        <v>2093289</v>
      </c>
      <c r="B682" s="3" t="s">
        <v>3205</v>
      </c>
      <c r="C682" s="3" t="str">
        <f>"9780786443178"</f>
        <v>9780786443178</v>
      </c>
      <c r="D682" s="3" t="str">
        <f>"9781476605210"</f>
        <v>9781476605210</v>
      </c>
      <c r="E682" s="3" t="s">
        <v>828</v>
      </c>
      <c r="F682" s="3" t="s">
        <v>828</v>
      </c>
      <c r="G682" s="4">
        <v>39751</v>
      </c>
      <c r="H682" s="3" t="s">
        <v>20</v>
      </c>
      <c r="I682" s="3">
        <v>1</v>
      </c>
      <c r="J682" s="3"/>
      <c r="K682" s="3" t="s">
        <v>3206</v>
      </c>
      <c r="L682" s="3" t="s">
        <v>204</v>
      </c>
      <c r="M682" s="3" t="s">
        <v>3207</v>
      </c>
      <c r="N682" s="3" t="s">
        <v>3208</v>
      </c>
      <c r="O682" s="3" t="s">
        <v>3209</v>
      </c>
      <c r="P682" s="3" t="s">
        <v>25</v>
      </c>
      <c r="Q682" s="3" t="s">
        <v>5297</v>
      </c>
    </row>
    <row r="683" spans="1:17">
      <c r="A683" s="3">
        <v>2093307</v>
      </c>
      <c r="B683" s="3" t="s">
        <v>3210</v>
      </c>
      <c r="C683" s="3" t="str">
        <f>"9780786442430"</f>
        <v>9780786442430</v>
      </c>
      <c r="D683" s="3" t="str">
        <f>"9781476610238"</f>
        <v>9781476610238</v>
      </c>
      <c r="E683" s="3" t="s">
        <v>828</v>
      </c>
      <c r="F683" s="3" t="s">
        <v>828</v>
      </c>
      <c r="G683" s="4">
        <v>39920</v>
      </c>
      <c r="H683" s="3" t="s">
        <v>20</v>
      </c>
      <c r="I683" s="3">
        <v>1</v>
      </c>
      <c r="J683" s="3"/>
      <c r="K683" s="3" t="s">
        <v>3211</v>
      </c>
      <c r="L683" s="3" t="s">
        <v>118</v>
      </c>
      <c r="M683" s="3" t="s">
        <v>3212</v>
      </c>
      <c r="N683" s="3" t="s">
        <v>3213</v>
      </c>
      <c r="O683" s="3" t="s">
        <v>3214</v>
      </c>
      <c r="P683" s="3" t="s">
        <v>25</v>
      </c>
      <c r="Q683" s="3" t="s">
        <v>5298</v>
      </c>
    </row>
    <row r="684" spans="1:17">
      <c r="A684" s="3">
        <v>2093326</v>
      </c>
      <c r="B684" s="3" t="s">
        <v>3215</v>
      </c>
      <c r="C684" s="3" t="str">
        <f>"9780786441013"</f>
        <v>9780786441013</v>
      </c>
      <c r="D684" s="3" t="str">
        <f>"9781476621555"</f>
        <v>9781476621555</v>
      </c>
      <c r="E684" s="3" t="s">
        <v>3216</v>
      </c>
      <c r="F684" s="3" t="s">
        <v>3216</v>
      </c>
      <c r="G684" s="4">
        <v>39918</v>
      </c>
      <c r="H684" s="3" t="s">
        <v>20</v>
      </c>
      <c r="I684" s="3">
        <v>1</v>
      </c>
      <c r="J684" s="3"/>
      <c r="K684" s="3" t="s">
        <v>3217</v>
      </c>
      <c r="L684" s="3" t="s">
        <v>118</v>
      </c>
      <c r="M684" s="3" t="s">
        <v>3218</v>
      </c>
      <c r="N684" s="3">
        <v>282.09219999999999</v>
      </c>
      <c r="O684" s="3" t="s">
        <v>3219</v>
      </c>
      <c r="P684" s="3" t="s">
        <v>25</v>
      </c>
      <c r="Q684" s="3" t="s">
        <v>5299</v>
      </c>
    </row>
    <row r="685" spans="1:17">
      <c r="A685" s="3">
        <v>2121292</v>
      </c>
      <c r="B685" s="3" t="s">
        <v>3220</v>
      </c>
      <c r="C685" s="3" t="str">
        <f>"9780190237288"</f>
        <v>9780190237288</v>
      </c>
      <c r="D685" s="3" t="str">
        <f>"9780190237295"</f>
        <v>9780190237295</v>
      </c>
      <c r="E685" s="3" t="s">
        <v>910</v>
      </c>
      <c r="F685" s="3" t="s">
        <v>910</v>
      </c>
      <c r="G685" s="4">
        <v>42250</v>
      </c>
      <c r="H685" s="3" t="s">
        <v>20</v>
      </c>
      <c r="I685" s="3"/>
      <c r="J685" s="3" t="s">
        <v>1423</v>
      </c>
      <c r="K685" s="3" t="s">
        <v>3221</v>
      </c>
      <c r="L685" s="3" t="s">
        <v>1736</v>
      </c>
      <c r="M685" s="3" t="s">
        <v>3222</v>
      </c>
      <c r="N685" s="3">
        <v>320.9477</v>
      </c>
      <c r="O685" s="3" t="s">
        <v>3223</v>
      </c>
      <c r="P685" s="3" t="s">
        <v>25</v>
      </c>
      <c r="Q685" s="3" t="s">
        <v>5300</v>
      </c>
    </row>
    <row r="686" spans="1:17">
      <c r="A686" s="3">
        <v>2144875</v>
      </c>
      <c r="B686" s="3" t="s">
        <v>3224</v>
      </c>
      <c r="C686" s="3" t="str">
        <f>"9789004284463"</f>
        <v>9789004284463</v>
      </c>
      <c r="D686" s="3" t="str">
        <f>"9789004301191"</f>
        <v>9789004301191</v>
      </c>
      <c r="E686" s="3" t="s">
        <v>611</v>
      </c>
      <c r="F686" s="3" t="s">
        <v>611</v>
      </c>
      <c r="G686" s="4">
        <v>42236</v>
      </c>
      <c r="H686" s="3" t="s">
        <v>20</v>
      </c>
      <c r="I686" s="3">
        <v>1</v>
      </c>
      <c r="J686" s="3" t="s">
        <v>3225</v>
      </c>
      <c r="K686" s="3" t="s">
        <v>3226</v>
      </c>
      <c r="L686" s="3" t="s">
        <v>118</v>
      </c>
      <c r="M686" s="3" t="s">
        <v>3227</v>
      </c>
      <c r="N686" s="3" t="s">
        <v>3228</v>
      </c>
      <c r="O686" s="3" t="s">
        <v>3229</v>
      </c>
      <c r="P686" s="3" t="s">
        <v>25</v>
      </c>
      <c r="Q686" s="3" t="s">
        <v>5301</v>
      </c>
    </row>
    <row r="687" spans="1:17">
      <c r="A687" s="3">
        <v>2144880</v>
      </c>
      <c r="B687" s="3" t="s">
        <v>3230</v>
      </c>
      <c r="C687" s="3" t="str">
        <f>"9789004231597"</f>
        <v>9789004231597</v>
      </c>
      <c r="D687" s="3" t="str">
        <f>"9789004284784"</f>
        <v>9789004284784</v>
      </c>
      <c r="E687" s="3" t="s">
        <v>611</v>
      </c>
      <c r="F687" s="3" t="s">
        <v>611</v>
      </c>
      <c r="G687" s="4">
        <v>42230</v>
      </c>
      <c r="H687" s="3" t="s">
        <v>20</v>
      </c>
      <c r="I687" s="3">
        <v>1</v>
      </c>
      <c r="J687" s="3" t="s">
        <v>2128</v>
      </c>
      <c r="K687" s="3" t="s">
        <v>3231</v>
      </c>
      <c r="L687" s="3" t="s">
        <v>22</v>
      </c>
      <c r="M687" s="3"/>
      <c r="N687" s="3" t="s">
        <v>3232</v>
      </c>
      <c r="O687" s="3"/>
      <c r="P687" s="3" t="s">
        <v>25</v>
      </c>
      <c r="Q687" s="3" t="s">
        <v>5302</v>
      </c>
    </row>
    <row r="688" spans="1:17">
      <c r="A688" s="3">
        <v>2144898</v>
      </c>
      <c r="B688" s="3" t="s">
        <v>3233</v>
      </c>
      <c r="C688" s="3" t="str">
        <f>"9781118893609"</f>
        <v>9781118893609</v>
      </c>
      <c r="D688" s="3" t="str">
        <f>"9781118893692"</f>
        <v>9781118893692</v>
      </c>
      <c r="E688" s="3" t="s">
        <v>32</v>
      </c>
      <c r="F688" s="3" t="s">
        <v>530</v>
      </c>
      <c r="G688" s="4">
        <v>42247</v>
      </c>
      <c r="H688" s="3" t="s">
        <v>20</v>
      </c>
      <c r="I688" s="3">
        <v>4</v>
      </c>
      <c r="J688" s="3" t="s">
        <v>3234</v>
      </c>
      <c r="K688" s="3" t="s">
        <v>3235</v>
      </c>
      <c r="L688" s="3" t="s">
        <v>444</v>
      </c>
      <c r="M688" s="3" t="s">
        <v>3236</v>
      </c>
      <c r="N688" s="3">
        <v>658.4</v>
      </c>
      <c r="O688" s="3" t="s">
        <v>3237</v>
      </c>
      <c r="P688" s="3" t="s">
        <v>25</v>
      </c>
      <c r="Q688" s="3" t="s">
        <v>5303</v>
      </c>
    </row>
    <row r="689" spans="1:17">
      <c r="A689" s="3">
        <v>2146902</v>
      </c>
      <c r="B689" s="3" t="s">
        <v>3238</v>
      </c>
      <c r="C689" s="3" t="str">
        <f>"9780786432486"</f>
        <v>9780786432486</v>
      </c>
      <c r="D689" s="3" t="str">
        <f>"9781476608532"</f>
        <v>9781476608532</v>
      </c>
      <c r="E689" s="3" t="s">
        <v>828</v>
      </c>
      <c r="F689" s="3" t="s">
        <v>828</v>
      </c>
      <c r="G689" s="4">
        <v>39448</v>
      </c>
      <c r="H689" s="3" t="s">
        <v>20</v>
      </c>
      <c r="I689" s="3">
        <v>1</v>
      </c>
      <c r="J689" s="3"/>
      <c r="K689" s="3" t="s">
        <v>3196</v>
      </c>
      <c r="L689" s="3" t="s">
        <v>64</v>
      </c>
      <c r="M689" s="3" t="s">
        <v>3239</v>
      </c>
      <c r="N689" s="3">
        <v>364.66097400000001</v>
      </c>
      <c r="O689" s="3" t="s">
        <v>3240</v>
      </c>
      <c r="P689" s="3" t="s">
        <v>25</v>
      </c>
      <c r="Q689" s="3" t="s">
        <v>5304</v>
      </c>
    </row>
    <row r="690" spans="1:17">
      <c r="A690" s="3">
        <v>2146910</v>
      </c>
      <c r="B690" s="3" t="s">
        <v>3241</v>
      </c>
      <c r="C690" s="3" t="str">
        <f>"9780786437481"</f>
        <v>9780786437481</v>
      </c>
      <c r="D690" s="3" t="str">
        <f>"9781476609577"</f>
        <v>9781476609577</v>
      </c>
      <c r="E690" s="3" t="s">
        <v>828</v>
      </c>
      <c r="F690" s="3" t="s">
        <v>828</v>
      </c>
      <c r="G690" s="4">
        <v>39569</v>
      </c>
      <c r="H690" s="3" t="s">
        <v>20</v>
      </c>
      <c r="I690" s="3">
        <v>1</v>
      </c>
      <c r="J690" s="3"/>
      <c r="K690" s="3" t="s">
        <v>3242</v>
      </c>
      <c r="L690" s="3" t="s">
        <v>3243</v>
      </c>
      <c r="M690" s="3" t="s">
        <v>3244</v>
      </c>
      <c r="N690" s="3">
        <v>398.99171000000001</v>
      </c>
      <c r="O690" s="3" t="s">
        <v>3245</v>
      </c>
      <c r="P690" s="3" t="s">
        <v>25</v>
      </c>
      <c r="Q690" s="3" t="s">
        <v>5305</v>
      </c>
    </row>
    <row r="691" spans="1:17">
      <c r="A691" s="3">
        <v>2146913</v>
      </c>
      <c r="B691" s="3" t="s">
        <v>3246</v>
      </c>
      <c r="C691" s="3" t="str">
        <f>"9780786432554"</f>
        <v>9780786432554</v>
      </c>
      <c r="D691" s="3" t="str">
        <f>"9781476609638"</f>
        <v>9781476609638</v>
      </c>
      <c r="E691" s="3" t="s">
        <v>828</v>
      </c>
      <c r="F691" s="3" t="s">
        <v>828</v>
      </c>
      <c r="G691" s="4">
        <v>39363</v>
      </c>
      <c r="H691" s="3" t="s">
        <v>20</v>
      </c>
      <c r="I691" s="3">
        <v>1</v>
      </c>
      <c r="J691" s="3"/>
      <c r="K691" s="3" t="s">
        <v>3247</v>
      </c>
      <c r="L691" s="3" t="s">
        <v>58</v>
      </c>
      <c r="M691" s="3" t="s">
        <v>3248</v>
      </c>
      <c r="N691" s="3" t="s">
        <v>3249</v>
      </c>
      <c r="O691" s="3" t="s">
        <v>3250</v>
      </c>
      <c r="P691" s="3" t="s">
        <v>25</v>
      </c>
      <c r="Q691" s="3" t="s">
        <v>5306</v>
      </c>
    </row>
    <row r="692" spans="1:17">
      <c r="A692" s="3">
        <v>2198116</v>
      </c>
      <c r="B692" s="3" t="s">
        <v>3251</v>
      </c>
      <c r="C692" s="3" t="str">
        <f>"9780786422623"</f>
        <v>9780786422623</v>
      </c>
      <c r="D692" s="3" t="str">
        <f>"9781476607351"</f>
        <v>9781476607351</v>
      </c>
      <c r="E692" s="3" t="s">
        <v>828</v>
      </c>
      <c r="F692" s="3" t="s">
        <v>828</v>
      </c>
      <c r="G692" s="4">
        <v>38373</v>
      </c>
      <c r="H692" s="3" t="s">
        <v>20</v>
      </c>
      <c r="I692" s="3">
        <v>1</v>
      </c>
      <c r="J692" s="3"/>
      <c r="K692" s="3" t="s">
        <v>3252</v>
      </c>
      <c r="L692" s="3" t="s">
        <v>64</v>
      </c>
      <c r="M692" s="3"/>
      <c r="N692" s="3">
        <v>398.9</v>
      </c>
      <c r="O692" s="3" t="s">
        <v>3253</v>
      </c>
      <c r="P692" s="3" t="s">
        <v>25</v>
      </c>
      <c r="Q692" s="3" t="s">
        <v>5307</v>
      </c>
    </row>
    <row r="693" spans="1:17">
      <c r="A693" s="3">
        <v>2198233</v>
      </c>
      <c r="B693" s="3" t="s">
        <v>3254</v>
      </c>
      <c r="C693" s="3" t="str">
        <f>"9789004245945"</f>
        <v>9789004245945</v>
      </c>
      <c r="D693" s="3" t="str">
        <f>"9789004281929"</f>
        <v>9789004281929</v>
      </c>
      <c r="E693" s="3" t="s">
        <v>611</v>
      </c>
      <c r="F693" s="3" t="s">
        <v>611</v>
      </c>
      <c r="G693" s="4">
        <v>42171</v>
      </c>
      <c r="H693" s="3" t="s">
        <v>20</v>
      </c>
      <c r="I693" s="3">
        <v>1</v>
      </c>
      <c r="J693" s="3" t="s">
        <v>2128</v>
      </c>
      <c r="K693" s="3" t="s">
        <v>3255</v>
      </c>
      <c r="L693" s="3" t="s">
        <v>22</v>
      </c>
      <c r="M693" s="3"/>
      <c r="N693" s="3"/>
      <c r="O693" s="3"/>
      <c r="P693" s="3" t="s">
        <v>25</v>
      </c>
      <c r="Q693" s="3" t="s">
        <v>5308</v>
      </c>
    </row>
    <row r="694" spans="1:17">
      <c r="A694" s="3">
        <v>2198494</v>
      </c>
      <c r="B694" s="3" t="s">
        <v>3256</v>
      </c>
      <c r="C694" s="3" t="str">
        <f>"9780190223793"</f>
        <v>9780190223793</v>
      </c>
      <c r="D694" s="3" t="str">
        <f>"9780190223816"</f>
        <v>9780190223816</v>
      </c>
      <c r="E694" s="3" t="s">
        <v>910</v>
      </c>
      <c r="F694" s="3" t="s">
        <v>910</v>
      </c>
      <c r="G694" s="4">
        <v>42311</v>
      </c>
      <c r="H694" s="3" t="s">
        <v>20</v>
      </c>
      <c r="I694" s="3"/>
      <c r="J694" s="3" t="s">
        <v>1423</v>
      </c>
      <c r="K694" s="3" t="s">
        <v>3257</v>
      </c>
      <c r="L694" s="3" t="s">
        <v>199</v>
      </c>
      <c r="M694" s="3" t="s">
        <v>3258</v>
      </c>
      <c r="N694" s="3" t="s">
        <v>3259</v>
      </c>
      <c r="O694" s="3" t="s">
        <v>3260</v>
      </c>
      <c r="P694" s="3" t="s">
        <v>25</v>
      </c>
      <c r="Q694" s="3" t="s">
        <v>5309</v>
      </c>
    </row>
    <row r="695" spans="1:17">
      <c r="A695" s="3">
        <v>3004094</v>
      </c>
      <c r="B695" s="3" t="s">
        <v>3261</v>
      </c>
      <c r="C695" s="3" t="str">
        <f>"9789004136823"</f>
        <v>9789004136823</v>
      </c>
      <c r="D695" s="3" t="str">
        <f>"9789047404835"</f>
        <v>9789047404835</v>
      </c>
      <c r="E695" s="3" t="s">
        <v>611</v>
      </c>
      <c r="F695" s="3" t="s">
        <v>611</v>
      </c>
      <c r="G695" s="4">
        <v>38958</v>
      </c>
      <c r="H695" s="3" t="s">
        <v>20</v>
      </c>
      <c r="I695" s="3">
        <v>1</v>
      </c>
      <c r="J695" s="3" t="s">
        <v>2128</v>
      </c>
      <c r="K695" s="3" t="s">
        <v>3262</v>
      </c>
      <c r="L695" s="3" t="s">
        <v>22</v>
      </c>
      <c r="M695" s="3" t="s">
        <v>3263</v>
      </c>
      <c r="N695" s="3"/>
      <c r="O695" s="3"/>
      <c r="P695" s="3" t="s">
        <v>25</v>
      </c>
      <c r="Q695" s="3" t="s">
        <v>5310</v>
      </c>
    </row>
    <row r="696" spans="1:17">
      <c r="A696" s="3">
        <v>3004132</v>
      </c>
      <c r="B696" s="3" t="s">
        <v>3264</v>
      </c>
      <c r="C696" s="3" t="str">
        <f>"9789004136830"</f>
        <v>9789004136830</v>
      </c>
      <c r="D696" s="3" t="str">
        <f>"9789047404842"</f>
        <v>9789047404842</v>
      </c>
      <c r="E696" s="3" t="s">
        <v>611</v>
      </c>
      <c r="F696" s="3" t="s">
        <v>611</v>
      </c>
      <c r="G696" s="4">
        <v>39003</v>
      </c>
      <c r="H696" s="3" t="s">
        <v>20</v>
      </c>
      <c r="I696" s="3">
        <v>1</v>
      </c>
      <c r="J696" s="3" t="s">
        <v>2128</v>
      </c>
      <c r="K696" s="3" t="s">
        <v>3265</v>
      </c>
      <c r="L696" s="3" t="s">
        <v>58</v>
      </c>
      <c r="M696" s="3" t="s">
        <v>3266</v>
      </c>
      <c r="N696" s="3" t="s">
        <v>3267</v>
      </c>
      <c r="O696" s="3" t="s">
        <v>3268</v>
      </c>
      <c r="P696" s="3" t="s">
        <v>25</v>
      </c>
      <c r="Q696" s="3" t="s">
        <v>5311</v>
      </c>
    </row>
    <row r="697" spans="1:17">
      <c r="A697" s="3">
        <v>3017193</v>
      </c>
      <c r="B697" s="3" t="s">
        <v>3269</v>
      </c>
      <c r="C697" s="3" t="str">
        <f>"9780786433193"</f>
        <v>9780786433193</v>
      </c>
      <c r="D697" s="3" t="str">
        <f>"9780786451715"</f>
        <v>9780786451715</v>
      </c>
      <c r="E697" s="3" t="s">
        <v>3216</v>
      </c>
      <c r="F697" s="3" t="s">
        <v>3270</v>
      </c>
      <c r="G697" s="4">
        <v>39630</v>
      </c>
      <c r="H697" s="3" t="s">
        <v>20</v>
      </c>
      <c r="I697" s="3">
        <v>3</v>
      </c>
      <c r="J697" s="3"/>
      <c r="K697" s="3" t="s">
        <v>3271</v>
      </c>
      <c r="L697" s="3" t="s">
        <v>974</v>
      </c>
      <c r="M697" s="3" t="s">
        <v>3272</v>
      </c>
      <c r="N697" s="3" t="s">
        <v>3273</v>
      </c>
      <c r="O697" s="3" t="s">
        <v>3274</v>
      </c>
      <c r="P697" s="3" t="s">
        <v>25</v>
      </c>
      <c r="Q697" s="3" t="s">
        <v>5312</v>
      </c>
    </row>
    <row r="698" spans="1:17">
      <c r="A698" s="3">
        <v>3017210</v>
      </c>
      <c r="B698" s="3" t="s">
        <v>3275</v>
      </c>
      <c r="C698" s="3" t="str">
        <f>"9780786495399"</f>
        <v>9780786495399</v>
      </c>
      <c r="D698" s="3" t="str">
        <f>"9781476617152"</f>
        <v>9781476617152</v>
      </c>
      <c r="E698" s="3" t="s">
        <v>828</v>
      </c>
      <c r="F698" s="3" t="s">
        <v>828</v>
      </c>
      <c r="G698" s="4">
        <v>42045</v>
      </c>
      <c r="H698" s="3" t="s">
        <v>20</v>
      </c>
      <c r="I698" s="3">
        <v>1</v>
      </c>
      <c r="J698" s="3"/>
      <c r="K698" s="3" t="s">
        <v>3196</v>
      </c>
      <c r="L698" s="3" t="s">
        <v>64</v>
      </c>
      <c r="M698" s="3" t="s">
        <v>3276</v>
      </c>
      <c r="N698" s="3" t="s">
        <v>3277</v>
      </c>
      <c r="O698" s="3" t="s">
        <v>3278</v>
      </c>
      <c r="P698" s="3" t="s">
        <v>25</v>
      </c>
      <c r="Q698" s="3" t="s">
        <v>5313</v>
      </c>
    </row>
    <row r="699" spans="1:17">
      <c r="A699" s="3">
        <v>3032295</v>
      </c>
      <c r="B699" s="3" t="s">
        <v>3279</v>
      </c>
      <c r="C699" s="3" t="str">
        <f>"9781412941648"</f>
        <v>9781412941648</v>
      </c>
      <c r="D699" s="3" t="str">
        <f>"9781452265940"</f>
        <v>9781452265940</v>
      </c>
      <c r="E699" s="3" t="s">
        <v>1873</v>
      </c>
      <c r="F699" s="3" t="s">
        <v>1873</v>
      </c>
      <c r="G699" s="4">
        <v>39826</v>
      </c>
      <c r="H699" s="3" t="s">
        <v>20</v>
      </c>
      <c r="I699" s="3">
        <v>1</v>
      </c>
      <c r="J699" s="3"/>
      <c r="K699" s="3" t="s">
        <v>3280</v>
      </c>
      <c r="L699" s="3" t="s">
        <v>182</v>
      </c>
      <c r="M699" s="3" t="s">
        <v>3281</v>
      </c>
      <c r="N699" s="3">
        <v>115.03</v>
      </c>
      <c r="O699" s="3" t="s">
        <v>3282</v>
      </c>
      <c r="P699" s="3" t="s">
        <v>25</v>
      </c>
      <c r="Q699" s="3" t="s">
        <v>5314</v>
      </c>
    </row>
    <row r="700" spans="1:17">
      <c r="A700" s="3">
        <v>3039328</v>
      </c>
      <c r="B700" s="3" t="s">
        <v>3283</v>
      </c>
      <c r="C700" s="3" t="str">
        <f>"9780827608108"</f>
        <v>9780827608108</v>
      </c>
      <c r="D700" s="3" t="str">
        <f>"9780827609754"</f>
        <v>9780827609754</v>
      </c>
      <c r="E700" s="3" t="s">
        <v>3284</v>
      </c>
      <c r="F700" s="3" t="s">
        <v>3284</v>
      </c>
      <c r="G700" s="4">
        <v>40179</v>
      </c>
      <c r="H700" s="3" t="s">
        <v>20</v>
      </c>
      <c r="I700" s="3">
        <v>1</v>
      </c>
      <c r="J700" s="3" t="s">
        <v>2077</v>
      </c>
      <c r="K700" s="3" t="s">
        <v>3285</v>
      </c>
      <c r="L700" s="3" t="s">
        <v>58</v>
      </c>
      <c r="M700" s="3" t="s">
        <v>3286</v>
      </c>
      <c r="N700" s="3" t="s">
        <v>3287</v>
      </c>
      <c r="O700" s="3" t="s">
        <v>3288</v>
      </c>
      <c r="P700" s="3" t="s">
        <v>25</v>
      </c>
      <c r="Q700" s="3" t="s">
        <v>5315</v>
      </c>
    </row>
    <row r="701" spans="1:17">
      <c r="A701" s="3">
        <v>3039398</v>
      </c>
      <c r="B701" s="3" t="s">
        <v>3289</v>
      </c>
      <c r="C701" s="3" t="str">
        <f>"9780803240117"</f>
        <v>9780803240117</v>
      </c>
      <c r="D701" s="3" t="str">
        <f>"9780803266872"</f>
        <v>9780803266872</v>
      </c>
      <c r="E701" s="3" t="s">
        <v>3290</v>
      </c>
      <c r="F701" s="3" t="s">
        <v>3291</v>
      </c>
      <c r="G701" s="4">
        <v>41913</v>
      </c>
      <c r="H701" s="3" t="s">
        <v>20</v>
      </c>
      <c r="I701" s="3">
        <v>1</v>
      </c>
      <c r="J701" s="3"/>
      <c r="K701" s="3" t="s">
        <v>3292</v>
      </c>
      <c r="L701" s="3" t="s">
        <v>58</v>
      </c>
      <c r="M701" s="3" t="s">
        <v>3293</v>
      </c>
      <c r="N701" s="3">
        <v>940.31200000000001</v>
      </c>
      <c r="O701" s="3" t="s">
        <v>3294</v>
      </c>
      <c r="P701" s="3" t="s">
        <v>25</v>
      </c>
      <c r="Q701" s="3" t="s">
        <v>5316</v>
      </c>
    </row>
    <row r="702" spans="1:17">
      <c r="A702" s="3">
        <v>3055295</v>
      </c>
      <c r="B702" s="3" t="s">
        <v>3295</v>
      </c>
      <c r="C702" s="3" t="str">
        <f>"9780199934485"</f>
        <v>9780199934485</v>
      </c>
      <c r="D702" s="3" t="str">
        <f>"9780199934492"</f>
        <v>9780199934492</v>
      </c>
      <c r="E702" s="3" t="s">
        <v>910</v>
      </c>
      <c r="F702" s="3" t="s">
        <v>910</v>
      </c>
      <c r="G702" s="4">
        <v>41410</v>
      </c>
      <c r="H702" s="3" t="s">
        <v>20</v>
      </c>
      <c r="I702" s="3"/>
      <c r="J702" s="3" t="s">
        <v>1423</v>
      </c>
      <c r="K702" s="3" t="s">
        <v>3296</v>
      </c>
      <c r="L702" s="3" t="s">
        <v>649</v>
      </c>
      <c r="M702" s="3" t="s">
        <v>3297</v>
      </c>
      <c r="N702" s="3">
        <v>332.110973</v>
      </c>
      <c r="O702" s="3" t="s">
        <v>3298</v>
      </c>
      <c r="P702" s="3" t="s">
        <v>25</v>
      </c>
      <c r="Q702" s="3" t="s">
        <v>5317</v>
      </c>
    </row>
    <row r="703" spans="1:17">
      <c r="A703" s="3">
        <v>3116734</v>
      </c>
      <c r="B703" s="3" t="s">
        <v>3299</v>
      </c>
      <c r="C703" s="3" t="str">
        <f>"9781583217412"</f>
        <v>9781583217412</v>
      </c>
      <c r="D703" s="3" t="str">
        <f>"9781613001011"</f>
        <v>9781613001011</v>
      </c>
      <c r="E703" s="3" t="s">
        <v>3300</v>
      </c>
      <c r="F703" s="3" t="s">
        <v>3300</v>
      </c>
      <c r="G703" s="4">
        <v>39783</v>
      </c>
      <c r="H703" s="3" t="s">
        <v>20</v>
      </c>
      <c r="I703" s="3">
        <v>2</v>
      </c>
      <c r="J703" s="3"/>
      <c r="K703" s="3" t="s">
        <v>3301</v>
      </c>
      <c r="L703" s="3" t="s">
        <v>3302</v>
      </c>
      <c r="M703" s="3" t="s">
        <v>3303</v>
      </c>
      <c r="N703" s="3">
        <v>628.10299999999995</v>
      </c>
      <c r="O703" s="3" t="s">
        <v>3304</v>
      </c>
      <c r="P703" s="3" t="s">
        <v>25</v>
      </c>
      <c r="Q703" s="3" t="s">
        <v>5318</v>
      </c>
    </row>
    <row r="704" spans="1:17">
      <c r="A704" s="3">
        <v>3134697</v>
      </c>
      <c r="B704" s="3" t="s">
        <v>3305</v>
      </c>
      <c r="C704" s="3" t="str">
        <f>"9780976594703"</f>
        <v>9780976594703</v>
      </c>
      <c r="D704" s="3" t="str">
        <f>"9780986005855"</f>
        <v>9780986005855</v>
      </c>
      <c r="E704" s="3" t="s">
        <v>3306</v>
      </c>
      <c r="F704" s="3" t="s">
        <v>3306</v>
      </c>
      <c r="G704" s="4">
        <v>38626</v>
      </c>
      <c r="H704" s="3" t="s">
        <v>20</v>
      </c>
      <c r="I704" s="3"/>
      <c r="J704" s="3"/>
      <c r="K704" s="3" t="s">
        <v>3307</v>
      </c>
      <c r="L704" s="3" t="s">
        <v>182</v>
      </c>
      <c r="M704" s="3" t="s">
        <v>3308</v>
      </c>
      <c r="N704" s="3"/>
      <c r="O704" s="3" t="s">
        <v>3309</v>
      </c>
      <c r="P704" s="3" t="s">
        <v>25</v>
      </c>
      <c r="Q704" s="3" t="s">
        <v>5319</v>
      </c>
    </row>
    <row r="705" spans="1:17">
      <c r="A705" s="3">
        <v>3138650</v>
      </c>
      <c r="B705" s="3" t="s">
        <v>3310</v>
      </c>
      <c r="C705" s="3" t="str">
        <f>"9780801452253"</f>
        <v>9780801452253</v>
      </c>
      <c r="D705" s="3" t="str">
        <f>"9780801454592"</f>
        <v>9780801454592</v>
      </c>
      <c r="E705" s="3" t="s">
        <v>3311</v>
      </c>
      <c r="F705" s="3" t="s">
        <v>3312</v>
      </c>
      <c r="G705" s="4">
        <v>41863</v>
      </c>
      <c r="H705" s="3" t="s">
        <v>20</v>
      </c>
      <c r="I705" s="3">
        <v>5</v>
      </c>
      <c r="J705" s="3"/>
      <c r="K705" s="3" t="s">
        <v>3313</v>
      </c>
      <c r="L705" s="3" t="s">
        <v>354</v>
      </c>
      <c r="M705" s="3" t="s">
        <v>3314</v>
      </c>
      <c r="N705" s="3">
        <v>344.73009999999999</v>
      </c>
      <c r="O705" s="3" t="s">
        <v>3315</v>
      </c>
      <c r="P705" s="3" t="s">
        <v>25</v>
      </c>
      <c r="Q705" s="3" t="s">
        <v>5320</v>
      </c>
    </row>
    <row r="706" spans="1:17">
      <c r="A706" s="3">
        <v>3138726</v>
      </c>
      <c r="B706" s="3" t="s">
        <v>3316</v>
      </c>
      <c r="C706" s="3" t="str">
        <f>"9780801477683"</f>
        <v>9780801477683</v>
      </c>
      <c r="D706" s="3" t="str">
        <f>"9780801454929"</f>
        <v>9780801454929</v>
      </c>
      <c r="E706" s="3" t="s">
        <v>3311</v>
      </c>
      <c r="F706" s="3" t="s">
        <v>3317</v>
      </c>
      <c r="G706" s="4">
        <v>41954</v>
      </c>
      <c r="H706" s="3" t="s">
        <v>20</v>
      </c>
      <c r="I706" s="3">
        <v>1</v>
      </c>
      <c r="J706" s="3"/>
      <c r="K706" s="3" t="s">
        <v>3318</v>
      </c>
      <c r="L706" s="3" t="s">
        <v>3319</v>
      </c>
      <c r="M706" s="3" t="s">
        <v>3320</v>
      </c>
      <c r="N706" s="3" t="s">
        <v>3321</v>
      </c>
      <c r="O706" s="3" t="s">
        <v>3322</v>
      </c>
      <c r="P706" s="3" t="s">
        <v>25</v>
      </c>
      <c r="Q706" s="3" t="s">
        <v>5321</v>
      </c>
    </row>
    <row r="707" spans="1:17">
      <c r="A707" s="3">
        <v>3239053</v>
      </c>
      <c r="B707" s="3" t="s">
        <v>3323</v>
      </c>
      <c r="C707" s="3" t="str">
        <f>"9788817368568"</f>
        <v>9788817368568</v>
      </c>
      <c r="D707" s="3" t="str">
        <f>"9788817368643"</f>
        <v>9788817368643</v>
      </c>
      <c r="E707" s="3" t="s">
        <v>3324</v>
      </c>
      <c r="F707" s="3" t="s">
        <v>3324</v>
      </c>
      <c r="G707" s="4">
        <v>41183</v>
      </c>
      <c r="H707" s="3" t="s">
        <v>20</v>
      </c>
      <c r="I707" s="3">
        <v>9</v>
      </c>
      <c r="J707" s="3"/>
      <c r="K707" s="3" t="s">
        <v>3325</v>
      </c>
      <c r="L707" s="3" t="s">
        <v>3326</v>
      </c>
      <c r="M707" s="3" t="s">
        <v>3327</v>
      </c>
      <c r="N707" s="3" t="s">
        <v>3328</v>
      </c>
      <c r="O707" s="3" t="s">
        <v>3329</v>
      </c>
      <c r="P707" s="3" t="s">
        <v>25</v>
      </c>
      <c r="Q707" s="3" t="s">
        <v>5322</v>
      </c>
    </row>
    <row r="708" spans="1:17">
      <c r="A708" s="3">
        <v>3239072</v>
      </c>
      <c r="B708" s="3" t="s">
        <v>3330</v>
      </c>
      <c r="C708" s="3" t="str">
        <f>"9788817370707"</f>
        <v>9788817370707</v>
      </c>
      <c r="D708" s="3" t="str">
        <f>"9788817370899"</f>
        <v>9788817370899</v>
      </c>
      <c r="E708" s="3" t="s">
        <v>3324</v>
      </c>
      <c r="F708" s="3" t="s">
        <v>3324</v>
      </c>
      <c r="G708" s="4">
        <v>41183</v>
      </c>
      <c r="H708" s="3" t="s">
        <v>20</v>
      </c>
      <c r="I708" s="3">
        <v>8</v>
      </c>
      <c r="J708" s="3"/>
      <c r="K708" s="3" t="s">
        <v>3331</v>
      </c>
      <c r="L708" s="3" t="s">
        <v>3332</v>
      </c>
      <c r="M708" s="3" t="s">
        <v>3333</v>
      </c>
      <c r="N708" s="3">
        <v>333.79</v>
      </c>
      <c r="O708" s="3" t="s">
        <v>3334</v>
      </c>
      <c r="P708" s="3" t="s">
        <v>25</v>
      </c>
      <c r="Q708" s="3" t="s">
        <v>5323</v>
      </c>
    </row>
    <row r="709" spans="1:17">
      <c r="A709" s="3">
        <v>3239090</v>
      </c>
      <c r="B709" s="3" t="s">
        <v>3335</v>
      </c>
      <c r="C709" s="3" t="str">
        <f>"9780881737165"</f>
        <v>9780881737165</v>
      </c>
      <c r="D709" s="3" t="str">
        <f>"9780881737172"</f>
        <v>9780881737172</v>
      </c>
      <c r="E709" s="3" t="s">
        <v>3324</v>
      </c>
      <c r="F709" s="3" t="s">
        <v>3324</v>
      </c>
      <c r="G709" s="4">
        <v>41821</v>
      </c>
      <c r="H709" s="3" t="s">
        <v>20</v>
      </c>
      <c r="I709" s="3">
        <v>3</v>
      </c>
      <c r="J709" s="3"/>
      <c r="K709" s="3" t="s">
        <v>3336</v>
      </c>
      <c r="L709" s="3" t="s">
        <v>3337</v>
      </c>
      <c r="M709" s="3" t="s">
        <v>3338</v>
      </c>
      <c r="N709" s="3">
        <v>696</v>
      </c>
      <c r="O709" s="3" t="s">
        <v>3339</v>
      </c>
      <c r="P709" s="3" t="s">
        <v>25</v>
      </c>
      <c r="Q709" s="3" t="s">
        <v>5324</v>
      </c>
    </row>
    <row r="710" spans="1:17">
      <c r="A710" s="3">
        <v>3299489</v>
      </c>
      <c r="B710" s="3" t="s">
        <v>3340</v>
      </c>
      <c r="C710" s="3" t="str">
        <f>"9781592371204"</f>
        <v>9781592371204</v>
      </c>
      <c r="D710" s="3" t="str">
        <f>"9781592371709"</f>
        <v>9781592371709</v>
      </c>
      <c r="E710" s="3" t="s">
        <v>3341</v>
      </c>
      <c r="F710" s="3" t="s">
        <v>3341</v>
      </c>
      <c r="G710" s="4">
        <v>39073</v>
      </c>
      <c r="H710" s="3" t="s">
        <v>20</v>
      </c>
      <c r="I710" s="3">
        <v>1</v>
      </c>
      <c r="J710" s="3"/>
      <c r="K710" s="3" t="s">
        <v>3342</v>
      </c>
      <c r="L710" s="3" t="s">
        <v>1590</v>
      </c>
      <c r="M710" s="3" t="s">
        <v>3343</v>
      </c>
      <c r="N710" s="3" t="s">
        <v>3344</v>
      </c>
      <c r="O710" s="3" t="s">
        <v>3345</v>
      </c>
      <c r="P710" s="3" t="s">
        <v>25</v>
      </c>
      <c r="Q710" s="3" t="s">
        <v>5325</v>
      </c>
    </row>
    <row r="711" spans="1:17">
      <c r="A711" s="3">
        <v>3299491</v>
      </c>
      <c r="B711" s="3" t="s">
        <v>3346</v>
      </c>
      <c r="C711" s="3" t="str">
        <f>"9781592371167"</f>
        <v>9781592371167</v>
      </c>
      <c r="D711" s="3" t="str">
        <f>"9781592371723"</f>
        <v>9781592371723</v>
      </c>
      <c r="E711" s="3" t="s">
        <v>3341</v>
      </c>
      <c r="F711" s="3" t="s">
        <v>3341</v>
      </c>
      <c r="G711" s="4">
        <v>39073</v>
      </c>
      <c r="H711" s="3" t="s">
        <v>20</v>
      </c>
      <c r="I711" s="3">
        <v>1</v>
      </c>
      <c r="J711" s="3"/>
      <c r="K711" s="3" t="s">
        <v>3347</v>
      </c>
      <c r="L711" s="3" t="s">
        <v>3348</v>
      </c>
      <c r="M711" s="3" t="s">
        <v>3349</v>
      </c>
      <c r="N711" s="3">
        <v>355</v>
      </c>
      <c r="O711" s="3" t="s">
        <v>3350</v>
      </c>
      <c r="P711" s="3" t="s">
        <v>25</v>
      </c>
      <c r="Q711" s="3" t="s">
        <v>5326</v>
      </c>
    </row>
    <row r="712" spans="1:17">
      <c r="A712" s="3">
        <v>3299493</v>
      </c>
      <c r="B712" s="3" t="s">
        <v>3351</v>
      </c>
      <c r="C712" s="3" t="str">
        <f>"9781592371143"</f>
        <v>9781592371143</v>
      </c>
      <c r="D712" s="3" t="str">
        <f>"9781592371716"</f>
        <v>9781592371716</v>
      </c>
      <c r="E712" s="3" t="s">
        <v>3341</v>
      </c>
      <c r="F712" s="3" t="s">
        <v>3341</v>
      </c>
      <c r="G712" s="4">
        <v>38838</v>
      </c>
      <c r="H712" s="3" t="s">
        <v>20</v>
      </c>
      <c r="I712" s="3">
        <v>1</v>
      </c>
      <c r="J712" s="3"/>
      <c r="K712" s="3" t="s">
        <v>3352</v>
      </c>
      <c r="L712" s="3" t="s">
        <v>579</v>
      </c>
      <c r="M712" s="3" t="s">
        <v>3353</v>
      </c>
      <c r="N712" s="3" t="s">
        <v>3354</v>
      </c>
      <c r="O712" s="3" t="s">
        <v>3350</v>
      </c>
      <c r="P712" s="3" t="s">
        <v>25</v>
      </c>
      <c r="Q712" s="3" t="s">
        <v>5327</v>
      </c>
    </row>
    <row r="713" spans="1:17">
      <c r="A713" s="3">
        <v>3299499</v>
      </c>
      <c r="B713" s="3" t="s">
        <v>3355</v>
      </c>
      <c r="C713" s="3" t="str">
        <f>"9781592371129"</f>
        <v>9781592371129</v>
      </c>
      <c r="D713" s="3" t="str">
        <f>"9781592372294"</f>
        <v>9781592372294</v>
      </c>
      <c r="E713" s="3" t="s">
        <v>3341</v>
      </c>
      <c r="F713" s="3" t="s">
        <v>3341</v>
      </c>
      <c r="G713" s="4">
        <v>38899</v>
      </c>
      <c r="H713" s="3" t="s">
        <v>20</v>
      </c>
      <c r="I713" s="3">
        <v>1</v>
      </c>
      <c r="J713" s="3"/>
      <c r="K713" s="3" t="s">
        <v>3356</v>
      </c>
      <c r="L713" s="3" t="s">
        <v>58</v>
      </c>
      <c r="M713" s="3" t="s">
        <v>3357</v>
      </c>
      <c r="N713" s="3">
        <v>920.06</v>
      </c>
      <c r="O713" s="3" t="s">
        <v>3358</v>
      </c>
      <c r="P713" s="3" t="s">
        <v>25</v>
      </c>
      <c r="Q713" s="3" t="s">
        <v>5328</v>
      </c>
    </row>
    <row r="714" spans="1:17">
      <c r="A714" s="3">
        <v>3299522</v>
      </c>
      <c r="B714" s="3" t="s">
        <v>3359</v>
      </c>
      <c r="C714" s="3" t="str">
        <f>"9781592372911"</f>
        <v>9781592372911</v>
      </c>
      <c r="D714" s="3" t="str">
        <f>"9781592373024"</f>
        <v>9781592373024</v>
      </c>
      <c r="E714" s="3" t="s">
        <v>3341</v>
      </c>
      <c r="F714" s="3" t="s">
        <v>3341</v>
      </c>
      <c r="G714" s="4">
        <v>40095</v>
      </c>
      <c r="H714" s="3" t="s">
        <v>20</v>
      </c>
      <c r="I714" s="3">
        <v>2</v>
      </c>
      <c r="J714" s="3"/>
      <c r="K714" s="3" t="s">
        <v>3360</v>
      </c>
      <c r="L714" s="3" t="s">
        <v>22</v>
      </c>
      <c r="M714" s="3" t="s">
        <v>3361</v>
      </c>
      <c r="N714" s="3">
        <v>810.9</v>
      </c>
      <c r="O714" s="3" t="s">
        <v>3362</v>
      </c>
      <c r="P714" s="3" t="s">
        <v>25</v>
      </c>
      <c r="Q714" s="3" t="s">
        <v>5329</v>
      </c>
    </row>
    <row r="715" spans="1:17">
      <c r="A715" s="3">
        <v>3299574</v>
      </c>
      <c r="B715" s="3" t="s">
        <v>3363</v>
      </c>
      <c r="C715" s="3" t="str">
        <f>"9781619251175"</f>
        <v>9781619251175</v>
      </c>
      <c r="D715" s="3" t="str">
        <f>"9781619251519"</f>
        <v>9781619251519</v>
      </c>
      <c r="E715" s="3" t="s">
        <v>3341</v>
      </c>
      <c r="F715" s="3" t="s">
        <v>3341</v>
      </c>
      <c r="G715" s="4">
        <v>41275</v>
      </c>
      <c r="H715" s="3" t="s">
        <v>20</v>
      </c>
      <c r="I715" s="3">
        <v>7</v>
      </c>
      <c r="J715" s="3"/>
      <c r="K715" s="3" t="s">
        <v>3364</v>
      </c>
      <c r="L715" s="3" t="s">
        <v>64</v>
      </c>
      <c r="M715" s="3" t="s">
        <v>3365</v>
      </c>
      <c r="N715" s="3">
        <v>307.740973</v>
      </c>
      <c r="O715" s="3" t="s">
        <v>3366</v>
      </c>
      <c r="P715" s="3" t="s">
        <v>25</v>
      </c>
      <c r="Q715" s="3" t="s">
        <v>5330</v>
      </c>
    </row>
    <row r="716" spans="1:17">
      <c r="A716" s="3">
        <v>3316147</v>
      </c>
      <c r="B716" s="3" t="s">
        <v>3367</v>
      </c>
      <c r="C716" s="3" t="str">
        <f>"9781573871143"</f>
        <v>9781573871143</v>
      </c>
      <c r="D716" s="3" t="str">
        <f>"9781573879675"</f>
        <v>9781573879675</v>
      </c>
      <c r="E716" s="3" t="s">
        <v>3368</v>
      </c>
      <c r="F716" s="3" t="s">
        <v>3368</v>
      </c>
      <c r="G716" s="4">
        <v>39873</v>
      </c>
      <c r="H716" s="3" t="s">
        <v>20</v>
      </c>
      <c r="I716" s="3">
        <v>1</v>
      </c>
      <c r="J716" s="3"/>
      <c r="K716" s="3" t="s">
        <v>3369</v>
      </c>
      <c r="L716" s="3" t="s">
        <v>3370</v>
      </c>
      <c r="M716" s="3" t="s">
        <v>3371</v>
      </c>
      <c r="N716" s="3" t="s">
        <v>3372</v>
      </c>
      <c r="O716" s="3" t="s">
        <v>3373</v>
      </c>
      <c r="P716" s="3" t="s">
        <v>25</v>
      </c>
      <c r="Q716" s="3" t="s">
        <v>5331</v>
      </c>
    </row>
    <row r="717" spans="1:17">
      <c r="A717" s="3">
        <v>3316806</v>
      </c>
      <c r="B717" s="3" t="s">
        <v>3374</v>
      </c>
      <c r="C717" s="3" t="str">
        <f>"9780830829439"</f>
        <v>9780830829439</v>
      </c>
      <c r="D717" s="3" t="str">
        <f>"9780830897179"</f>
        <v>9780830897179</v>
      </c>
      <c r="E717" s="3" t="s">
        <v>3063</v>
      </c>
      <c r="F717" s="3" t="s">
        <v>3063</v>
      </c>
      <c r="G717" s="4">
        <v>41726</v>
      </c>
      <c r="H717" s="3" t="s">
        <v>20</v>
      </c>
      <c r="I717" s="3">
        <v>1</v>
      </c>
      <c r="J717" s="3"/>
      <c r="K717" s="3" t="s">
        <v>3375</v>
      </c>
      <c r="L717" s="3" t="s">
        <v>118</v>
      </c>
      <c r="M717" s="3" t="s">
        <v>3376</v>
      </c>
      <c r="N717" s="3">
        <v>270.10300000000001</v>
      </c>
      <c r="O717" s="3" t="s">
        <v>3377</v>
      </c>
      <c r="P717" s="3" t="s">
        <v>25</v>
      </c>
      <c r="Q717" s="3" t="s">
        <v>5332</v>
      </c>
    </row>
    <row r="718" spans="1:17">
      <c r="A718" s="3">
        <v>3318589</v>
      </c>
      <c r="B718" s="3" t="s">
        <v>3378</v>
      </c>
      <c r="C718" s="3" t="str">
        <f>"9781421406183"</f>
        <v>9781421406183</v>
      </c>
      <c r="D718" s="3" t="str">
        <f>"9781421407463"</f>
        <v>9781421407463</v>
      </c>
      <c r="E718" s="3" t="s">
        <v>3379</v>
      </c>
      <c r="F718" s="3" t="s">
        <v>3379</v>
      </c>
      <c r="G718" s="4">
        <v>41228</v>
      </c>
      <c r="H718" s="3" t="s">
        <v>20</v>
      </c>
      <c r="I718" s="3">
        <v>2</v>
      </c>
      <c r="J718" s="3"/>
      <c r="K718" s="3" t="s">
        <v>3380</v>
      </c>
      <c r="L718" s="3" t="s">
        <v>1117</v>
      </c>
      <c r="M718" s="3" t="s">
        <v>3381</v>
      </c>
      <c r="N718" s="3" t="s">
        <v>3382</v>
      </c>
      <c r="O718" s="3"/>
      <c r="P718" s="3" t="s">
        <v>25</v>
      </c>
      <c r="Q718" s="3" t="s">
        <v>5333</v>
      </c>
    </row>
    <row r="719" spans="1:17">
      <c r="A719" s="3">
        <v>3318621</v>
      </c>
      <c r="B719" s="3" t="s">
        <v>3383</v>
      </c>
      <c r="C719" s="3" t="str">
        <f>"9781421404691"</f>
        <v>9781421404691</v>
      </c>
      <c r="D719" s="3" t="str">
        <f>"9781421408682"</f>
        <v>9781421408682</v>
      </c>
      <c r="E719" s="3" t="s">
        <v>3379</v>
      </c>
      <c r="F719" s="3" t="s">
        <v>3379</v>
      </c>
      <c r="G719" s="4">
        <v>41153</v>
      </c>
      <c r="H719" s="3" t="s">
        <v>20</v>
      </c>
      <c r="I719" s="3">
        <v>1</v>
      </c>
      <c r="J719" s="3"/>
      <c r="K719" s="3" t="s">
        <v>3384</v>
      </c>
      <c r="L719" s="3" t="s">
        <v>1117</v>
      </c>
      <c r="M719" s="3"/>
      <c r="N719" s="3">
        <v>599.36</v>
      </c>
      <c r="O719" s="3"/>
      <c r="P719" s="3" t="s">
        <v>25</v>
      </c>
      <c r="Q719" s="3" t="s">
        <v>5334</v>
      </c>
    </row>
    <row r="720" spans="1:17">
      <c r="A720" s="3">
        <v>3318723</v>
      </c>
      <c r="B720" s="3" t="s">
        <v>3385</v>
      </c>
      <c r="C720" s="3" t="str">
        <f>"9781421410982"</f>
        <v>9781421410982</v>
      </c>
      <c r="D720" s="3" t="str">
        <f>"9781421410999"</f>
        <v>9781421410999</v>
      </c>
      <c r="E720" s="3" t="s">
        <v>3379</v>
      </c>
      <c r="F720" s="3" t="s">
        <v>3379</v>
      </c>
      <c r="G720" s="4">
        <v>41624</v>
      </c>
      <c r="H720" s="3" t="s">
        <v>20</v>
      </c>
      <c r="I720" s="3">
        <v>1</v>
      </c>
      <c r="J720" s="3"/>
      <c r="K720" s="3" t="s">
        <v>3386</v>
      </c>
      <c r="L720" s="3" t="s">
        <v>97</v>
      </c>
      <c r="M720" s="3"/>
      <c r="N720" s="3">
        <v>510.14</v>
      </c>
      <c r="O720" s="3"/>
      <c r="P720" s="3" t="s">
        <v>25</v>
      </c>
      <c r="Q720" s="3" t="s">
        <v>5335</v>
      </c>
    </row>
    <row r="721" spans="1:17">
      <c r="A721" s="3">
        <v>3318802</v>
      </c>
      <c r="B721" s="3" t="s">
        <v>3387</v>
      </c>
      <c r="C721" s="3" t="str">
        <f>"9781421412238"</f>
        <v>9781421412238</v>
      </c>
      <c r="D721" s="3" t="str">
        <f>"9781421412252"</f>
        <v>9781421412252</v>
      </c>
      <c r="E721" s="3" t="s">
        <v>3379</v>
      </c>
      <c r="F721" s="3" t="s">
        <v>3379</v>
      </c>
      <c r="G721" s="4">
        <v>41744</v>
      </c>
      <c r="H721" s="3" t="s">
        <v>20</v>
      </c>
      <c r="I721" s="3">
        <v>1</v>
      </c>
      <c r="J721" s="3"/>
      <c r="K721" s="3" t="s">
        <v>3388</v>
      </c>
      <c r="L721" s="3" t="s">
        <v>64</v>
      </c>
      <c r="M721" s="3" t="s">
        <v>3389</v>
      </c>
      <c r="N721" s="3" t="s">
        <v>1531</v>
      </c>
      <c r="O721" s="3"/>
      <c r="P721" s="3" t="s">
        <v>25</v>
      </c>
      <c r="Q721" s="3" t="s">
        <v>5336</v>
      </c>
    </row>
    <row r="722" spans="1:17">
      <c r="A722" s="3">
        <v>3318832</v>
      </c>
      <c r="B722" s="3" t="s">
        <v>3390</v>
      </c>
      <c r="C722" s="3" t="str">
        <f>"9781421412016"</f>
        <v>9781421412016</v>
      </c>
      <c r="D722" s="3" t="str">
        <f>"9781421412023"</f>
        <v>9781421412023</v>
      </c>
      <c r="E722" s="3" t="s">
        <v>3379</v>
      </c>
      <c r="F722" s="3" t="s">
        <v>3379</v>
      </c>
      <c r="G722" s="4">
        <v>41805</v>
      </c>
      <c r="H722" s="3" t="s">
        <v>20</v>
      </c>
      <c r="I722" s="3">
        <v>1</v>
      </c>
      <c r="J722" s="3"/>
      <c r="K722" s="3" t="s">
        <v>3391</v>
      </c>
      <c r="L722" s="3" t="s">
        <v>3392</v>
      </c>
      <c r="M722" s="3"/>
      <c r="N722" s="3"/>
      <c r="O722" s="3"/>
      <c r="P722" s="3" t="s">
        <v>25</v>
      </c>
      <c r="Q722" s="3" t="s">
        <v>5337</v>
      </c>
    </row>
    <row r="723" spans="1:17">
      <c r="A723" s="3">
        <v>3318838</v>
      </c>
      <c r="B723" s="3" t="s">
        <v>3393</v>
      </c>
      <c r="C723" s="3" t="str">
        <f>"9781421414423"</f>
        <v>9781421414423</v>
      </c>
      <c r="D723" s="3" t="str">
        <f>"9781421414430"</f>
        <v>9781421414430</v>
      </c>
      <c r="E723" s="3" t="s">
        <v>3379</v>
      </c>
      <c r="F723" s="3" t="s">
        <v>3379</v>
      </c>
      <c r="G723" s="4">
        <v>41932</v>
      </c>
      <c r="H723" s="3" t="s">
        <v>20</v>
      </c>
      <c r="I723" s="3">
        <v>1</v>
      </c>
      <c r="J723" s="3"/>
      <c r="K723" s="3" t="s">
        <v>3394</v>
      </c>
      <c r="L723" s="3" t="s">
        <v>182</v>
      </c>
      <c r="M723" s="3" t="s">
        <v>3395</v>
      </c>
      <c r="N723" s="3">
        <v>133.59444999999999</v>
      </c>
      <c r="O723" s="3"/>
      <c r="P723" s="3" t="s">
        <v>25</v>
      </c>
      <c r="Q723" s="3" t="s">
        <v>5338</v>
      </c>
    </row>
    <row r="724" spans="1:17">
      <c r="A724" s="3">
        <v>3328982</v>
      </c>
      <c r="B724" s="3" t="s">
        <v>3396</v>
      </c>
      <c r="C724" s="3" t="str">
        <f>"9781588265562"</f>
        <v>9781588265562</v>
      </c>
      <c r="D724" s="3" t="str">
        <f>"9781588269959"</f>
        <v>9781588269959</v>
      </c>
      <c r="E724" s="3" t="s">
        <v>3397</v>
      </c>
      <c r="F724" s="3" t="s">
        <v>3397</v>
      </c>
      <c r="G724" s="4">
        <v>39448</v>
      </c>
      <c r="H724" s="3" t="s">
        <v>20</v>
      </c>
      <c r="I724" s="3">
        <v>1</v>
      </c>
      <c r="J724" s="3"/>
      <c r="K724" s="3" t="s">
        <v>3398</v>
      </c>
      <c r="L724" s="3" t="s">
        <v>219</v>
      </c>
      <c r="M724" s="3" t="s">
        <v>3399</v>
      </c>
      <c r="N724" s="3" t="s">
        <v>3400</v>
      </c>
      <c r="O724" s="3" t="s">
        <v>3401</v>
      </c>
      <c r="P724" s="3" t="s">
        <v>25</v>
      </c>
      <c r="Q724" s="3" t="s">
        <v>5339</v>
      </c>
    </row>
    <row r="725" spans="1:17">
      <c r="A725" s="3">
        <v>3329073</v>
      </c>
      <c r="B725" s="3" t="s">
        <v>3402</v>
      </c>
      <c r="C725" s="3" t="str">
        <f>"9781555872298"</f>
        <v>9781555872298</v>
      </c>
      <c r="D725" s="3" t="str">
        <f>"9781588269850"</f>
        <v>9781588269850</v>
      </c>
      <c r="E725" s="3" t="s">
        <v>3397</v>
      </c>
      <c r="F725" s="3" t="s">
        <v>3397</v>
      </c>
      <c r="G725" s="4">
        <v>36557</v>
      </c>
      <c r="H725" s="3" t="s">
        <v>20</v>
      </c>
      <c r="I725" s="3">
        <v>1</v>
      </c>
      <c r="J725" s="3"/>
      <c r="K725" s="3" t="s">
        <v>3403</v>
      </c>
      <c r="L725" s="3" t="s">
        <v>58</v>
      </c>
      <c r="M725" s="3" t="s">
        <v>3404</v>
      </c>
      <c r="N725" s="3">
        <v>920.06200000000001</v>
      </c>
      <c r="O725" s="3" t="s">
        <v>3405</v>
      </c>
      <c r="P725" s="3" t="s">
        <v>25</v>
      </c>
      <c r="Q725" s="3" t="s">
        <v>5340</v>
      </c>
    </row>
    <row r="726" spans="1:17">
      <c r="A726" s="3">
        <v>3329074</v>
      </c>
      <c r="B726" s="3" t="s">
        <v>3406</v>
      </c>
      <c r="C726" s="3" t="str">
        <f>"9781588266866"</f>
        <v>9781588266866</v>
      </c>
      <c r="D726" s="3" t="str">
        <f>"9781588269621"</f>
        <v>9781588269621</v>
      </c>
      <c r="E726" s="3" t="s">
        <v>3397</v>
      </c>
      <c r="F726" s="3" t="s">
        <v>3397</v>
      </c>
      <c r="G726" s="4">
        <v>40057</v>
      </c>
      <c r="H726" s="3" t="s">
        <v>20</v>
      </c>
      <c r="I726" s="3">
        <v>1</v>
      </c>
      <c r="J726" s="3"/>
      <c r="K726" s="3" t="s">
        <v>3407</v>
      </c>
      <c r="L726" s="3" t="s">
        <v>58</v>
      </c>
      <c r="M726" s="3" t="s">
        <v>3408</v>
      </c>
      <c r="N726" s="3">
        <v>956.0403</v>
      </c>
      <c r="O726" s="3" t="s">
        <v>3409</v>
      </c>
      <c r="P726" s="3" t="s">
        <v>25</v>
      </c>
      <c r="Q726" s="3" t="s">
        <v>5341</v>
      </c>
    </row>
    <row r="727" spans="1:17">
      <c r="A727" s="3">
        <v>3330284</v>
      </c>
      <c r="B727" s="3" t="s">
        <v>3410</v>
      </c>
      <c r="C727" s="3" t="str">
        <f>"9780761475835"</f>
        <v>9780761475835</v>
      </c>
      <c r="D727" s="3" t="str">
        <f>"9780761499008"</f>
        <v>9780761499008</v>
      </c>
      <c r="E727" s="3" t="s">
        <v>3411</v>
      </c>
      <c r="F727" s="3" t="s">
        <v>3411</v>
      </c>
      <c r="G727" s="4">
        <v>36526</v>
      </c>
      <c r="H727" s="3" t="s">
        <v>20</v>
      </c>
      <c r="I727" s="3">
        <v>2</v>
      </c>
      <c r="J727" s="3"/>
      <c r="K727" s="3" t="s">
        <v>3412</v>
      </c>
      <c r="L727" s="3" t="s">
        <v>3413</v>
      </c>
      <c r="M727" s="3" t="s">
        <v>3414</v>
      </c>
      <c r="N727" s="3" t="s">
        <v>3415</v>
      </c>
      <c r="O727" s="3" t="s">
        <v>3416</v>
      </c>
      <c r="P727" s="3" t="s">
        <v>25</v>
      </c>
      <c r="Q727" s="3" t="s">
        <v>5342</v>
      </c>
    </row>
    <row r="728" spans="1:17">
      <c r="A728" s="3">
        <v>3330287</v>
      </c>
      <c r="B728" s="3" t="s">
        <v>3417</v>
      </c>
      <c r="C728" s="3" t="str">
        <f>"9780761474685"</f>
        <v>9780761474685</v>
      </c>
      <c r="D728" s="3" t="str">
        <f>"9780761499190"</f>
        <v>9780761499190</v>
      </c>
      <c r="E728" s="3" t="s">
        <v>3411</v>
      </c>
      <c r="F728" s="3" t="s">
        <v>3411</v>
      </c>
      <c r="G728" s="4">
        <v>36526</v>
      </c>
      <c r="H728" s="3" t="s">
        <v>20</v>
      </c>
      <c r="I728" s="3"/>
      <c r="J728" s="3"/>
      <c r="K728" s="3" t="s">
        <v>3418</v>
      </c>
      <c r="L728" s="3" t="s">
        <v>22</v>
      </c>
      <c r="M728" s="3" t="s">
        <v>3419</v>
      </c>
      <c r="N728" s="3" t="s">
        <v>3420</v>
      </c>
      <c r="O728" s="3" t="s">
        <v>3421</v>
      </c>
      <c r="P728" s="3" t="s">
        <v>25</v>
      </c>
      <c r="Q728" s="3" t="s">
        <v>5343</v>
      </c>
    </row>
    <row r="729" spans="1:17">
      <c r="A729" s="3">
        <v>3330291</v>
      </c>
      <c r="B729" s="3" t="s">
        <v>3422</v>
      </c>
      <c r="C729" s="3" t="str">
        <f>"9780761478454"</f>
        <v>9780761478454</v>
      </c>
      <c r="D729" s="3" t="str">
        <f>"9780761499220"</f>
        <v>9780761499220</v>
      </c>
      <c r="E729" s="3" t="s">
        <v>3411</v>
      </c>
      <c r="F729" s="3" t="s">
        <v>3411</v>
      </c>
      <c r="G729" s="4">
        <v>40179</v>
      </c>
      <c r="H729" s="3" t="s">
        <v>20</v>
      </c>
      <c r="I729" s="3">
        <v>4</v>
      </c>
      <c r="J729" s="3"/>
      <c r="K729" s="3" t="s">
        <v>3423</v>
      </c>
      <c r="L729" s="3" t="s">
        <v>204</v>
      </c>
      <c r="M729" s="3" t="s">
        <v>3424</v>
      </c>
      <c r="N729" s="3">
        <v>610.29999999999995</v>
      </c>
      <c r="O729" s="3" t="s">
        <v>3425</v>
      </c>
      <c r="P729" s="3" t="s">
        <v>25</v>
      </c>
      <c r="Q729" s="3" t="s">
        <v>5344</v>
      </c>
    </row>
    <row r="730" spans="1:17">
      <c r="A730" s="3">
        <v>3330293</v>
      </c>
      <c r="B730" s="3" t="s">
        <v>3426</v>
      </c>
      <c r="C730" s="3" t="str">
        <f>"9780761474180"</f>
        <v>9780761474180</v>
      </c>
      <c r="D730" s="3" t="str">
        <f>"9780761499480"</f>
        <v>9780761499480</v>
      </c>
      <c r="E730" s="3" t="s">
        <v>3411</v>
      </c>
      <c r="F730" s="3" t="s">
        <v>3411</v>
      </c>
      <c r="G730" s="4">
        <v>37987</v>
      </c>
      <c r="H730" s="3" t="s">
        <v>20</v>
      </c>
      <c r="I730" s="3"/>
      <c r="J730" s="3"/>
      <c r="K730" s="3" t="s">
        <v>3427</v>
      </c>
      <c r="L730" s="3" t="s">
        <v>779</v>
      </c>
      <c r="M730" s="3" t="s">
        <v>3428</v>
      </c>
      <c r="N730" s="3" t="s">
        <v>3429</v>
      </c>
      <c r="O730" s="3" t="s">
        <v>3430</v>
      </c>
      <c r="P730" s="3" t="s">
        <v>25</v>
      </c>
      <c r="Q730" s="3" t="s">
        <v>5345</v>
      </c>
    </row>
    <row r="731" spans="1:17">
      <c r="A731" s="3">
        <v>3330295</v>
      </c>
      <c r="B731" s="3" t="s">
        <v>3431</v>
      </c>
      <c r="C731" s="3" t="str">
        <f>"9780761474425"</f>
        <v>9780761474425</v>
      </c>
      <c r="D731" s="3" t="str">
        <f>"9780761499022"</f>
        <v>9780761499022</v>
      </c>
      <c r="E731" s="3" t="s">
        <v>3411</v>
      </c>
      <c r="F731" s="3" t="s">
        <v>3432</v>
      </c>
      <c r="G731" s="4">
        <v>37956</v>
      </c>
      <c r="H731" s="3" t="s">
        <v>20</v>
      </c>
      <c r="I731" s="3">
        <v>2</v>
      </c>
      <c r="J731" s="3"/>
      <c r="K731" s="3" t="s">
        <v>3433</v>
      </c>
      <c r="L731" s="3" t="s">
        <v>779</v>
      </c>
      <c r="M731" s="3" t="s">
        <v>3434</v>
      </c>
      <c r="N731" s="3" t="s">
        <v>3435</v>
      </c>
      <c r="O731" s="3" t="s">
        <v>3436</v>
      </c>
      <c r="P731" s="3" t="s">
        <v>25</v>
      </c>
      <c r="Q731" s="3" t="s">
        <v>5346</v>
      </c>
    </row>
    <row r="732" spans="1:17">
      <c r="A732" s="3">
        <v>3338861</v>
      </c>
      <c r="B732" s="3" t="s">
        <v>3437</v>
      </c>
      <c r="C732" s="3" t="str">
        <f>"9780262062794"</f>
        <v>9780262062794</v>
      </c>
      <c r="D732" s="3" t="str">
        <f>"9780262273275"</f>
        <v>9780262273275</v>
      </c>
      <c r="E732" s="3" t="s">
        <v>3438</v>
      </c>
      <c r="F732" s="3" t="s">
        <v>3438</v>
      </c>
      <c r="G732" s="4">
        <v>39556</v>
      </c>
      <c r="H732" s="3" t="s">
        <v>20</v>
      </c>
      <c r="I732" s="3">
        <v>3</v>
      </c>
      <c r="J732" s="3"/>
      <c r="K732" s="3" t="s">
        <v>3439</v>
      </c>
      <c r="L732" s="3" t="s">
        <v>918</v>
      </c>
      <c r="M732" s="3" t="s">
        <v>3440</v>
      </c>
      <c r="N732" s="3">
        <v>5.13</v>
      </c>
      <c r="O732" s="3" t="s">
        <v>3441</v>
      </c>
      <c r="P732" s="3" t="s">
        <v>25</v>
      </c>
      <c r="Q732" s="3" t="s">
        <v>5347</v>
      </c>
    </row>
    <row r="733" spans="1:17">
      <c r="A733" s="3">
        <v>3339439</v>
      </c>
      <c r="B733" s="3" t="s">
        <v>3442</v>
      </c>
      <c r="C733" s="3" t="str">
        <f>"9780262017190"</f>
        <v>9780262017190</v>
      </c>
      <c r="D733" s="3" t="str">
        <f>"9780262301190"</f>
        <v>9780262301190</v>
      </c>
      <c r="E733" s="3" t="s">
        <v>3438</v>
      </c>
      <c r="F733" s="3" t="s">
        <v>3438</v>
      </c>
      <c r="G733" s="4">
        <v>41026</v>
      </c>
      <c r="H733" s="3" t="s">
        <v>20</v>
      </c>
      <c r="I733" s="3">
        <v>1</v>
      </c>
      <c r="J733" s="3" t="s">
        <v>3443</v>
      </c>
      <c r="K733" s="3" t="s">
        <v>3444</v>
      </c>
      <c r="L733" s="3" t="s">
        <v>3445</v>
      </c>
      <c r="M733" s="3" t="s">
        <v>3446</v>
      </c>
      <c r="N733" s="3" t="s">
        <v>3447</v>
      </c>
      <c r="O733" s="3" t="s">
        <v>3448</v>
      </c>
      <c r="P733" s="3" t="s">
        <v>25</v>
      </c>
      <c r="Q733" s="3" t="s">
        <v>5348</v>
      </c>
    </row>
    <row r="734" spans="1:17">
      <c r="A734" s="3">
        <v>3339457</v>
      </c>
      <c r="B734" s="3" t="s">
        <v>3449</v>
      </c>
      <c r="C734" s="3" t="str">
        <f>"9780262517676"</f>
        <v>9780262517676</v>
      </c>
      <c r="D734" s="3" t="str">
        <f>"9780262310383"</f>
        <v>9780262310383</v>
      </c>
      <c r="E734" s="3" t="s">
        <v>3438</v>
      </c>
      <c r="F734" s="3" t="s">
        <v>3438</v>
      </c>
      <c r="G734" s="4">
        <v>41075</v>
      </c>
      <c r="H734" s="3" t="s">
        <v>20</v>
      </c>
      <c r="I734" s="3">
        <v>1</v>
      </c>
      <c r="J734" s="3" t="s">
        <v>3450</v>
      </c>
      <c r="K734" s="3" t="s">
        <v>3451</v>
      </c>
      <c r="L734" s="3" t="s">
        <v>918</v>
      </c>
      <c r="M734" s="3"/>
      <c r="N734" s="3">
        <v>4</v>
      </c>
      <c r="O734" s="3"/>
      <c r="P734" s="3" t="s">
        <v>25</v>
      </c>
      <c r="Q734" s="3" t="s">
        <v>5349</v>
      </c>
    </row>
    <row r="735" spans="1:17">
      <c r="A735" s="3">
        <v>3339585</v>
      </c>
      <c r="B735" s="3" t="s">
        <v>3452</v>
      </c>
      <c r="C735" s="3" t="str">
        <f>"9780262518802"</f>
        <v>9780262518802</v>
      </c>
      <c r="D735" s="3" t="str">
        <f>"9780262313223"</f>
        <v>9780262313223</v>
      </c>
      <c r="E735" s="3" t="s">
        <v>3438</v>
      </c>
      <c r="F735" s="3" t="s">
        <v>3438</v>
      </c>
      <c r="G735" s="4">
        <v>41334</v>
      </c>
      <c r="H735" s="3" t="s">
        <v>20</v>
      </c>
      <c r="I735" s="3">
        <v>1</v>
      </c>
      <c r="J735" s="3" t="s">
        <v>3443</v>
      </c>
      <c r="K735" s="3" t="s">
        <v>3453</v>
      </c>
      <c r="L735" s="3" t="s">
        <v>918</v>
      </c>
      <c r="M735" s="3" t="s">
        <v>3454</v>
      </c>
      <c r="N735" s="3">
        <v>5.0999999999999996</v>
      </c>
      <c r="O735" s="3" t="s">
        <v>3455</v>
      </c>
      <c r="P735" s="3" t="s">
        <v>25</v>
      </c>
      <c r="Q735" s="3" t="s">
        <v>5350</v>
      </c>
    </row>
    <row r="736" spans="1:17">
      <c r="A736" s="3">
        <v>3339617</v>
      </c>
      <c r="B736" s="3" t="s">
        <v>3456</v>
      </c>
      <c r="C736" s="3" t="str">
        <f>"9780262019095"</f>
        <v>9780262019095</v>
      </c>
      <c r="D736" s="3" t="str">
        <f>"9780262314305"</f>
        <v>9780262314305</v>
      </c>
      <c r="E736" s="3" t="s">
        <v>3438</v>
      </c>
      <c r="F736" s="3" t="s">
        <v>3438</v>
      </c>
      <c r="G736" s="4">
        <v>41383</v>
      </c>
      <c r="H736" s="3" t="s">
        <v>20</v>
      </c>
      <c r="I736" s="3">
        <v>1</v>
      </c>
      <c r="J736" s="3" t="s">
        <v>3443</v>
      </c>
      <c r="K736" s="3" t="s">
        <v>3457</v>
      </c>
      <c r="L736" s="3" t="s">
        <v>43</v>
      </c>
      <c r="M736" s="3" t="s">
        <v>3458</v>
      </c>
      <c r="N736" s="3">
        <v>777.70899999999995</v>
      </c>
      <c r="O736" s="3" t="s">
        <v>3459</v>
      </c>
      <c r="P736" s="3" t="s">
        <v>25</v>
      </c>
      <c r="Q736" s="3" t="s">
        <v>5351</v>
      </c>
    </row>
    <row r="737" spans="1:17">
      <c r="A737" s="3">
        <v>3339619</v>
      </c>
      <c r="B737" s="3" t="s">
        <v>3460</v>
      </c>
      <c r="C737" s="3" t="str">
        <f>"9780262518475"</f>
        <v>9780262518475</v>
      </c>
      <c r="D737" s="3" t="str">
        <f>"9780262314244"</f>
        <v>9780262314244</v>
      </c>
      <c r="E737" s="3" t="s">
        <v>3438</v>
      </c>
      <c r="F737" s="3" t="s">
        <v>3438</v>
      </c>
      <c r="G737" s="4">
        <v>41404</v>
      </c>
      <c r="H737" s="3" t="s">
        <v>20</v>
      </c>
      <c r="I737" s="3">
        <v>1</v>
      </c>
      <c r="J737" s="3" t="s">
        <v>3450</v>
      </c>
      <c r="K737" s="3" t="s">
        <v>3461</v>
      </c>
      <c r="L737" s="3" t="s">
        <v>918</v>
      </c>
      <c r="M737" s="3" t="s">
        <v>3462</v>
      </c>
      <c r="N737" s="3">
        <v>4.0190000000000001</v>
      </c>
      <c r="O737" s="3" t="s">
        <v>3463</v>
      </c>
      <c r="P737" s="3" t="s">
        <v>25</v>
      </c>
      <c r="Q737" s="3" t="s">
        <v>5352</v>
      </c>
    </row>
    <row r="738" spans="1:17">
      <c r="A738" s="3">
        <v>3339648</v>
      </c>
      <c r="B738" s="3" t="s">
        <v>3464</v>
      </c>
      <c r="C738" s="3" t="str">
        <f>"9780262519588"</f>
        <v>9780262519588</v>
      </c>
      <c r="D738" s="3" t="str">
        <f>"9780262316569"</f>
        <v>9780262316569</v>
      </c>
      <c r="E738" s="3" t="s">
        <v>3438</v>
      </c>
      <c r="F738" s="3" t="s">
        <v>3438</v>
      </c>
      <c r="G738" s="4">
        <v>41502</v>
      </c>
      <c r="H738" s="3" t="s">
        <v>20</v>
      </c>
      <c r="I738" s="3">
        <v>1</v>
      </c>
      <c r="J738" s="3"/>
      <c r="K738" s="3" t="s">
        <v>3465</v>
      </c>
      <c r="L738" s="3" t="s">
        <v>3017</v>
      </c>
      <c r="M738" s="3" t="s">
        <v>3466</v>
      </c>
      <c r="N738" s="3" t="s">
        <v>3467</v>
      </c>
      <c r="O738" s="3" t="s">
        <v>3468</v>
      </c>
      <c r="P738" s="3" t="s">
        <v>25</v>
      </c>
      <c r="Q738" s="3" t="s">
        <v>5353</v>
      </c>
    </row>
    <row r="739" spans="1:17">
      <c r="A739" s="3">
        <v>3339690</v>
      </c>
      <c r="B739" s="3" t="s">
        <v>3469</v>
      </c>
      <c r="C739" s="3" t="str">
        <f>"9780262525435"</f>
        <v>9780262525435</v>
      </c>
      <c r="D739" s="3" t="str">
        <f>"9780262317696"</f>
        <v>9780262317696</v>
      </c>
      <c r="E739" s="3" t="s">
        <v>3438</v>
      </c>
      <c r="F739" s="3" t="s">
        <v>3438</v>
      </c>
      <c r="G739" s="4">
        <v>41551</v>
      </c>
      <c r="H739" s="3" t="s">
        <v>20</v>
      </c>
      <c r="I739" s="3">
        <v>1</v>
      </c>
      <c r="J739" s="3" t="s">
        <v>3450</v>
      </c>
      <c r="K739" s="3" t="s">
        <v>3470</v>
      </c>
      <c r="L739" s="3" t="s">
        <v>3445</v>
      </c>
      <c r="M739" s="3"/>
      <c r="N739" s="3"/>
      <c r="O739" s="3"/>
      <c r="P739" s="3" t="s">
        <v>25</v>
      </c>
      <c r="Q739" s="3" t="s">
        <v>5354</v>
      </c>
    </row>
    <row r="740" spans="1:17">
      <c r="A740" s="3">
        <v>3339703</v>
      </c>
      <c r="B740" s="3" t="s">
        <v>3471</v>
      </c>
      <c r="C740" s="3" t="str">
        <f>"9780262019163"</f>
        <v>9780262019163</v>
      </c>
      <c r="D740" s="3" t="str">
        <f>"9780262317900"</f>
        <v>9780262317900</v>
      </c>
      <c r="E740" s="3" t="s">
        <v>3438</v>
      </c>
      <c r="F740" s="3" t="s">
        <v>3438</v>
      </c>
      <c r="G740" s="4">
        <v>41572</v>
      </c>
      <c r="H740" s="3" t="s">
        <v>20</v>
      </c>
      <c r="I740" s="3">
        <v>1</v>
      </c>
      <c r="J740" s="3" t="s">
        <v>3443</v>
      </c>
      <c r="K740" s="3" t="s">
        <v>3472</v>
      </c>
      <c r="L740" s="3" t="s">
        <v>1484</v>
      </c>
      <c r="M740" s="3" t="s">
        <v>3473</v>
      </c>
      <c r="N740" s="3">
        <v>612.84</v>
      </c>
      <c r="O740" s="3" t="s">
        <v>3474</v>
      </c>
      <c r="P740" s="3" t="s">
        <v>25</v>
      </c>
      <c r="Q740" s="3" t="s">
        <v>5355</v>
      </c>
    </row>
    <row r="741" spans="1:17">
      <c r="A741" s="3">
        <v>3339724</v>
      </c>
      <c r="B741" s="3" t="s">
        <v>3475</v>
      </c>
      <c r="C741" s="3" t="str">
        <f>"9780262019736"</f>
        <v>9780262019736</v>
      </c>
      <c r="D741" s="3" t="str">
        <f>"9780262314404"</f>
        <v>9780262314404</v>
      </c>
      <c r="E741" s="3" t="s">
        <v>3438</v>
      </c>
      <c r="F741" s="3" t="s">
        <v>3438</v>
      </c>
      <c r="G741" s="4">
        <v>41635</v>
      </c>
      <c r="H741" s="3" t="s">
        <v>20</v>
      </c>
      <c r="I741" s="3">
        <v>1</v>
      </c>
      <c r="J741" s="3"/>
      <c r="K741" s="3" t="s">
        <v>3476</v>
      </c>
      <c r="L741" s="3" t="s">
        <v>714</v>
      </c>
      <c r="M741" s="3" t="s">
        <v>3477</v>
      </c>
      <c r="N741" s="3">
        <v>339</v>
      </c>
      <c r="O741" s="3" t="s">
        <v>3478</v>
      </c>
      <c r="P741" s="3" t="s">
        <v>25</v>
      </c>
      <c r="Q741" s="3" t="s">
        <v>5356</v>
      </c>
    </row>
    <row r="742" spans="1:17">
      <c r="A742" s="3">
        <v>3339730</v>
      </c>
      <c r="B742" s="3" t="s">
        <v>3479</v>
      </c>
      <c r="C742" s="3" t="str">
        <f>"9780262526197"</f>
        <v>9780262526197</v>
      </c>
      <c r="D742" s="3" t="str">
        <f>"9780262320238"</f>
        <v>9780262320238</v>
      </c>
      <c r="E742" s="3" t="s">
        <v>3438</v>
      </c>
      <c r="F742" s="3" t="s">
        <v>3438</v>
      </c>
      <c r="G742" s="4">
        <v>41663</v>
      </c>
      <c r="H742" s="3" t="s">
        <v>20</v>
      </c>
      <c r="I742" s="3">
        <v>1</v>
      </c>
      <c r="J742" s="3" t="s">
        <v>3443</v>
      </c>
      <c r="K742" s="3" t="s">
        <v>3480</v>
      </c>
      <c r="L742" s="3" t="s">
        <v>3481</v>
      </c>
      <c r="M742" s="3" t="s">
        <v>3482</v>
      </c>
      <c r="N742" s="3" t="s">
        <v>3483</v>
      </c>
      <c r="O742" s="3" t="s">
        <v>3484</v>
      </c>
      <c r="P742" s="3" t="s">
        <v>25</v>
      </c>
      <c r="Q742" s="3" t="s">
        <v>5357</v>
      </c>
    </row>
    <row r="743" spans="1:17">
      <c r="A743" s="3">
        <v>3339814</v>
      </c>
      <c r="B743" s="3" t="s">
        <v>3485</v>
      </c>
      <c r="C743" s="3" t="str">
        <f>"9780262027397"</f>
        <v>9780262027397</v>
      </c>
      <c r="D743" s="3" t="str">
        <f>"9780262323505"</f>
        <v>9780262323505</v>
      </c>
      <c r="E743" s="3" t="s">
        <v>3438</v>
      </c>
      <c r="F743" s="3" t="s">
        <v>3438</v>
      </c>
      <c r="G743" s="4">
        <v>41789</v>
      </c>
      <c r="H743" s="3" t="s">
        <v>20</v>
      </c>
      <c r="I743" s="3">
        <v>6</v>
      </c>
      <c r="J743" s="3"/>
      <c r="K743" s="3" t="s">
        <v>3486</v>
      </c>
      <c r="L743" s="3" t="s">
        <v>354</v>
      </c>
      <c r="M743" s="3" t="s">
        <v>3487</v>
      </c>
      <c r="N743" s="3" t="s">
        <v>3488</v>
      </c>
      <c r="O743" s="3" t="s">
        <v>3489</v>
      </c>
      <c r="P743" s="3" t="s">
        <v>25</v>
      </c>
      <c r="Q743" s="3" t="s">
        <v>5358</v>
      </c>
    </row>
    <row r="744" spans="1:17">
      <c r="A744" s="3">
        <v>3339846</v>
      </c>
      <c r="B744" s="3" t="s">
        <v>3490</v>
      </c>
      <c r="C744" s="3" t="str">
        <f>"9780262527101"</f>
        <v>9780262527101</v>
      </c>
      <c r="D744" s="3" t="str">
        <f>"9780262319300"</f>
        <v>9780262319300</v>
      </c>
      <c r="E744" s="3" t="s">
        <v>3438</v>
      </c>
      <c r="F744" s="3" t="s">
        <v>3438</v>
      </c>
      <c r="G744" s="4">
        <v>41859</v>
      </c>
      <c r="H744" s="3" t="s">
        <v>20</v>
      </c>
      <c r="I744" s="3">
        <v>1</v>
      </c>
      <c r="J744" s="3" t="s">
        <v>3450</v>
      </c>
      <c r="K744" s="3" t="s">
        <v>3491</v>
      </c>
      <c r="L744" s="3" t="s">
        <v>514</v>
      </c>
      <c r="M744" s="3" t="s">
        <v>3492</v>
      </c>
      <c r="N744" s="3">
        <v>153</v>
      </c>
      <c r="O744" s="3" t="s">
        <v>3493</v>
      </c>
      <c r="P744" s="3" t="s">
        <v>25</v>
      </c>
      <c r="Q744" s="3" t="s">
        <v>5359</v>
      </c>
    </row>
    <row r="745" spans="1:17">
      <c r="A745" s="3">
        <v>3339848</v>
      </c>
      <c r="B745" s="3" t="s">
        <v>3494</v>
      </c>
      <c r="C745" s="3" t="str">
        <f>"9780262526432"</f>
        <v>9780262526432</v>
      </c>
      <c r="D745" s="3" t="str">
        <f>"9780262321129"</f>
        <v>9780262321129</v>
      </c>
      <c r="E745" s="3" t="s">
        <v>3438</v>
      </c>
      <c r="F745" s="3" t="s">
        <v>3438</v>
      </c>
      <c r="G745" s="4">
        <v>41866</v>
      </c>
      <c r="H745" s="3" t="s">
        <v>20</v>
      </c>
      <c r="I745" s="3">
        <v>1</v>
      </c>
      <c r="J745" s="3" t="s">
        <v>3450</v>
      </c>
      <c r="K745" s="3" t="s">
        <v>3495</v>
      </c>
      <c r="L745" s="3" t="s">
        <v>182</v>
      </c>
      <c r="M745" s="3" t="s">
        <v>3496</v>
      </c>
      <c r="N745" s="3" t="s">
        <v>3497</v>
      </c>
      <c r="O745" s="3" t="s">
        <v>3498</v>
      </c>
      <c r="P745" s="3" t="s">
        <v>25</v>
      </c>
      <c r="Q745" s="3" t="s">
        <v>5360</v>
      </c>
    </row>
    <row r="746" spans="1:17">
      <c r="A746" s="3">
        <v>3339873</v>
      </c>
      <c r="B746" s="3" t="s">
        <v>3499</v>
      </c>
      <c r="C746" s="3" t="str">
        <f>"9780262526913"</f>
        <v>9780262526913</v>
      </c>
      <c r="D746" s="3" t="str">
        <f>"9780262322980"</f>
        <v>9780262322980</v>
      </c>
      <c r="E746" s="3" t="s">
        <v>3438</v>
      </c>
      <c r="F746" s="3" t="s">
        <v>3438</v>
      </c>
      <c r="G746" s="4">
        <v>41908</v>
      </c>
      <c r="H746" s="3" t="s">
        <v>20</v>
      </c>
      <c r="I746" s="3">
        <v>1</v>
      </c>
      <c r="J746" s="3" t="s">
        <v>3450</v>
      </c>
      <c r="K746" s="3" t="s">
        <v>3500</v>
      </c>
      <c r="L746" s="3" t="s">
        <v>532</v>
      </c>
      <c r="M746" s="3" t="s">
        <v>3501</v>
      </c>
      <c r="N746" s="3">
        <v>371.33446780000003</v>
      </c>
      <c r="O746" s="3" t="s">
        <v>3502</v>
      </c>
      <c r="P746" s="3" t="s">
        <v>25</v>
      </c>
      <c r="Q746" s="3" t="s">
        <v>5361</v>
      </c>
    </row>
    <row r="747" spans="1:17">
      <c r="A747" s="3">
        <v>3339919</v>
      </c>
      <c r="B747" s="3" t="s">
        <v>3503</v>
      </c>
      <c r="C747" s="3" t="str">
        <f>"9780262028592"</f>
        <v>9780262028592</v>
      </c>
      <c r="D747" s="3" t="str">
        <f>"9780262327701"</f>
        <v>9780262327701</v>
      </c>
      <c r="E747" s="3" t="s">
        <v>3438</v>
      </c>
      <c r="F747" s="3" t="s">
        <v>3438</v>
      </c>
      <c r="G747" s="4">
        <v>41985</v>
      </c>
      <c r="H747" s="3" t="s">
        <v>20</v>
      </c>
      <c r="I747" s="3">
        <v>1</v>
      </c>
      <c r="J747" s="3" t="s">
        <v>3443</v>
      </c>
      <c r="K747" s="3" t="s">
        <v>3504</v>
      </c>
      <c r="L747" s="3" t="s">
        <v>649</v>
      </c>
      <c r="M747" s="3" t="s">
        <v>3505</v>
      </c>
      <c r="N747" s="3" t="s">
        <v>3506</v>
      </c>
      <c r="O747" s="3" t="s">
        <v>3507</v>
      </c>
      <c r="P747" s="3" t="s">
        <v>25</v>
      </c>
      <c r="Q747" s="3" t="s">
        <v>5362</v>
      </c>
    </row>
    <row r="748" spans="1:17">
      <c r="A748" s="3">
        <v>3339924</v>
      </c>
      <c r="B748" s="3" t="s">
        <v>3508</v>
      </c>
      <c r="C748" s="3" t="str">
        <f>"9780262028288"</f>
        <v>9780262028288</v>
      </c>
      <c r="D748" s="3" t="str">
        <f>"9780262321853"</f>
        <v>9780262321853</v>
      </c>
      <c r="E748" s="3" t="s">
        <v>3438</v>
      </c>
      <c r="F748" s="3" t="s">
        <v>3438</v>
      </c>
      <c r="G748" s="4">
        <v>41992</v>
      </c>
      <c r="H748" s="3" t="s">
        <v>20</v>
      </c>
      <c r="I748" s="3">
        <v>2</v>
      </c>
      <c r="J748" s="3" t="s">
        <v>3443</v>
      </c>
      <c r="K748" s="3" t="s">
        <v>3509</v>
      </c>
      <c r="L748" s="3" t="s">
        <v>918</v>
      </c>
      <c r="M748" s="3" t="s">
        <v>3510</v>
      </c>
      <c r="N748" s="3">
        <v>6.6028500000000001</v>
      </c>
      <c r="O748" s="3"/>
      <c r="P748" s="3" t="s">
        <v>25</v>
      </c>
      <c r="Q748" s="3" t="s">
        <v>5363</v>
      </c>
    </row>
    <row r="749" spans="1:17">
      <c r="A749" s="3">
        <v>3339987</v>
      </c>
      <c r="B749" s="3" t="s">
        <v>3511</v>
      </c>
      <c r="C749" s="3" t="str">
        <f>"9780262527163"</f>
        <v>9780262527163</v>
      </c>
      <c r="D749" s="3" t="str">
        <f>"9780262328487"</f>
        <v>9780262328487</v>
      </c>
      <c r="E749" s="3" t="s">
        <v>3438</v>
      </c>
      <c r="F749" s="3" t="s">
        <v>3438</v>
      </c>
      <c r="G749" s="4">
        <v>42125</v>
      </c>
      <c r="H749" s="3" t="s">
        <v>20</v>
      </c>
      <c r="I749" s="3">
        <v>1</v>
      </c>
      <c r="J749" s="3" t="s">
        <v>3443</v>
      </c>
      <c r="K749" s="3" t="s">
        <v>3512</v>
      </c>
      <c r="L749" s="3" t="s">
        <v>406</v>
      </c>
      <c r="M749" s="3" t="s">
        <v>3513</v>
      </c>
      <c r="N749" s="3">
        <v>794.8</v>
      </c>
      <c r="O749" s="3" t="s">
        <v>3514</v>
      </c>
      <c r="P749" s="3" t="s">
        <v>25</v>
      </c>
      <c r="Q749" s="3" t="s">
        <v>5364</v>
      </c>
    </row>
    <row r="750" spans="1:17">
      <c r="A750" s="3">
        <v>3339988</v>
      </c>
      <c r="B750" s="3" t="s">
        <v>3515</v>
      </c>
      <c r="C750" s="3" t="str">
        <f>"9781514321843"</f>
        <v>9781514321843</v>
      </c>
      <c r="D750" s="3" t="str">
        <f>"9780615846064"</f>
        <v>9780615846064</v>
      </c>
      <c r="E750" s="3" t="s">
        <v>3516</v>
      </c>
      <c r="F750" s="3" t="s">
        <v>3516</v>
      </c>
      <c r="G750" s="4">
        <v>42278</v>
      </c>
      <c r="H750" s="3" t="s">
        <v>20</v>
      </c>
      <c r="I750" s="3">
        <v>2</v>
      </c>
      <c r="J750" s="3" t="s">
        <v>3517</v>
      </c>
      <c r="K750" s="3" t="s">
        <v>3518</v>
      </c>
      <c r="L750" s="3" t="s">
        <v>3519</v>
      </c>
      <c r="M750" s="3"/>
      <c r="N750" s="3"/>
      <c r="O750" s="3"/>
      <c r="P750" s="3" t="s">
        <v>25</v>
      </c>
      <c r="Q750" s="3" t="s">
        <v>5365</v>
      </c>
    </row>
    <row r="751" spans="1:17">
      <c r="A751" s="3">
        <v>3339990</v>
      </c>
      <c r="B751" s="3" t="s">
        <v>3520</v>
      </c>
      <c r="C751" s="3" t="str">
        <f>""</f>
        <v/>
      </c>
      <c r="D751" s="3" t="str">
        <f>"9780615630687"</f>
        <v>9780615630687</v>
      </c>
      <c r="E751" s="3" t="s">
        <v>3516</v>
      </c>
      <c r="F751" s="3" t="s">
        <v>3516</v>
      </c>
      <c r="G751" s="4">
        <v>41845</v>
      </c>
      <c r="H751" s="3" t="s">
        <v>20</v>
      </c>
      <c r="I751" s="3">
        <v>1</v>
      </c>
      <c r="J751" s="3" t="s">
        <v>3517</v>
      </c>
      <c r="K751" s="3" t="s">
        <v>3518</v>
      </c>
      <c r="L751" s="3" t="s">
        <v>3521</v>
      </c>
      <c r="M751" s="3"/>
      <c r="N751" s="3"/>
      <c r="O751" s="3"/>
      <c r="P751" s="3" t="s">
        <v>25</v>
      </c>
      <c r="Q751" s="3" t="s">
        <v>5366</v>
      </c>
    </row>
    <row r="752" spans="1:17">
      <c r="A752" s="3">
        <v>3382465</v>
      </c>
      <c r="B752" s="3" t="s">
        <v>3522</v>
      </c>
      <c r="C752" s="3" t="str">
        <f>"9781904456667"</f>
        <v>9781904456667</v>
      </c>
      <c r="D752" s="3" t="str">
        <f>"9781906523718"</f>
        <v>9781906523718</v>
      </c>
      <c r="E752" s="3" t="s">
        <v>3523</v>
      </c>
      <c r="F752" s="3" t="s">
        <v>3523</v>
      </c>
      <c r="G752" s="4">
        <v>39326</v>
      </c>
      <c r="H752" s="3" t="s">
        <v>20</v>
      </c>
      <c r="I752" s="3">
        <v>2</v>
      </c>
      <c r="J752" s="3" t="s">
        <v>3524</v>
      </c>
      <c r="K752" s="3" t="s">
        <v>3525</v>
      </c>
      <c r="L752" s="3" t="s">
        <v>714</v>
      </c>
      <c r="M752" s="3" t="s">
        <v>3526</v>
      </c>
      <c r="N752" s="3">
        <v>339.46</v>
      </c>
      <c r="O752" s="3" t="s">
        <v>3527</v>
      </c>
      <c r="P752" s="3" t="s">
        <v>25</v>
      </c>
      <c r="Q752" s="3" t="s">
        <v>5367</v>
      </c>
    </row>
    <row r="753" spans="1:17">
      <c r="A753" s="3">
        <v>3382466</v>
      </c>
      <c r="B753" s="3" t="s">
        <v>3528</v>
      </c>
      <c r="C753" s="3" t="str">
        <f>"9781904456469"</f>
        <v>9781904456469</v>
      </c>
      <c r="D753" s="3" t="str">
        <f>"9781906523749"</f>
        <v>9781906523749</v>
      </c>
      <c r="E753" s="3" t="s">
        <v>3523</v>
      </c>
      <c r="F753" s="3" t="s">
        <v>3523</v>
      </c>
      <c r="G753" s="4">
        <v>39022</v>
      </c>
      <c r="H753" s="3" t="s">
        <v>20</v>
      </c>
      <c r="I753" s="3"/>
      <c r="J753" s="3" t="s">
        <v>3524</v>
      </c>
      <c r="K753" s="3" t="s">
        <v>3529</v>
      </c>
      <c r="L753" s="3" t="s">
        <v>1078</v>
      </c>
      <c r="M753" s="3" t="s">
        <v>3530</v>
      </c>
      <c r="N753" s="3">
        <v>500</v>
      </c>
      <c r="O753" s="3" t="s">
        <v>3531</v>
      </c>
      <c r="P753" s="3" t="s">
        <v>25</v>
      </c>
      <c r="Q753" s="3" t="s">
        <v>5368</v>
      </c>
    </row>
    <row r="754" spans="1:17">
      <c r="A754" s="3">
        <v>3382478</v>
      </c>
      <c r="B754" s="3" t="s">
        <v>3532</v>
      </c>
      <c r="C754" s="3" t="str">
        <f>"9781904456612"</f>
        <v>9781904456612</v>
      </c>
      <c r="D754" s="3" t="str">
        <f>"9781906523626"</f>
        <v>9781906523626</v>
      </c>
      <c r="E754" s="3" t="s">
        <v>3523</v>
      </c>
      <c r="F754" s="3" t="s">
        <v>3523</v>
      </c>
      <c r="G754" s="4">
        <v>39173</v>
      </c>
      <c r="H754" s="3" t="s">
        <v>20</v>
      </c>
      <c r="I754" s="3"/>
      <c r="J754" s="3" t="s">
        <v>3524</v>
      </c>
      <c r="K754" s="3" t="s">
        <v>3533</v>
      </c>
      <c r="L754" s="3" t="s">
        <v>118</v>
      </c>
      <c r="M754" s="3" t="s">
        <v>3534</v>
      </c>
      <c r="N754" s="3">
        <v>297</v>
      </c>
      <c r="O754" s="3" t="s">
        <v>3535</v>
      </c>
      <c r="P754" s="3" t="s">
        <v>25</v>
      </c>
      <c r="Q754" s="3" t="s">
        <v>5369</v>
      </c>
    </row>
    <row r="755" spans="1:17">
      <c r="A755" s="3">
        <v>3382481</v>
      </c>
      <c r="B755" s="3" t="s">
        <v>3536</v>
      </c>
      <c r="C755" s="3" t="str">
        <f>"9781904456452"</f>
        <v>9781904456452</v>
      </c>
      <c r="D755" s="3" t="str">
        <f>"9781906523596"</f>
        <v>9781906523596</v>
      </c>
      <c r="E755" s="3" t="s">
        <v>3523</v>
      </c>
      <c r="F755" s="3" t="s">
        <v>3523</v>
      </c>
      <c r="G755" s="4">
        <v>39052</v>
      </c>
      <c r="H755" s="3" t="s">
        <v>20</v>
      </c>
      <c r="I755" s="3"/>
      <c r="J755" s="3" t="s">
        <v>3524</v>
      </c>
      <c r="K755" s="3" t="s">
        <v>3537</v>
      </c>
      <c r="L755" s="3" t="s">
        <v>219</v>
      </c>
      <c r="M755" s="3" t="s">
        <v>3538</v>
      </c>
      <c r="N755" s="3">
        <v>323.10000000000002</v>
      </c>
      <c r="O755" s="3" t="s">
        <v>3539</v>
      </c>
      <c r="P755" s="3" t="s">
        <v>25</v>
      </c>
      <c r="Q755" s="3" t="s">
        <v>5370</v>
      </c>
    </row>
    <row r="756" spans="1:17">
      <c r="A756" s="3">
        <v>3382482</v>
      </c>
      <c r="B756" s="3" t="s">
        <v>3540</v>
      </c>
      <c r="C756" s="3" t="str">
        <f>"9781904456650"</f>
        <v>9781904456650</v>
      </c>
      <c r="D756" s="3" t="str">
        <f>"9781906523688"</f>
        <v>9781906523688</v>
      </c>
      <c r="E756" s="3" t="s">
        <v>3523</v>
      </c>
      <c r="F756" s="3" t="s">
        <v>3523</v>
      </c>
      <c r="G756" s="4">
        <v>39326</v>
      </c>
      <c r="H756" s="3" t="s">
        <v>20</v>
      </c>
      <c r="I756" s="3"/>
      <c r="J756" s="3" t="s">
        <v>3524</v>
      </c>
      <c r="K756" s="3" t="s">
        <v>3541</v>
      </c>
      <c r="L756" s="3" t="s">
        <v>816</v>
      </c>
      <c r="M756" s="3" t="s">
        <v>3542</v>
      </c>
      <c r="N756" s="3">
        <v>362.1</v>
      </c>
      <c r="O756" s="3" t="s">
        <v>3543</v>
      </c>
      <c r="P756" s="3" t="s">
        <v>25</v>
      </c>
      <c r="Q756" s="3" t="s">
        <v>5371</v>
      </c>
    </row>
    <row r="757" spans="1:17">
      <c r="A757" s="3">
        <v>3382498</v>
      </c>
      <c r="B757" s="3" t="s">
        <v>3544</v>
      </c>
      <c r="C757" s="3" t="str">
        <f>"9781904456605"</f>
        <v>9781904456605</v>
      </c>
      <c r="D757" s="3" t="str">
        <f>"9781906523756"</f>
        <v>9781906523756</v>
      </c>
      <c r="E757" s="3" t="s">
        <v>3523</v>
      </c>
      <c r="F757" s="3" t="s">
        <v>3523</v>
      </c>
      <c r="G757" s="4">
        <v>39203</v>
      </c>
      <c r="H757" s="3" t="s">
        <v>20</v>
      </c>
      <c r="I757" s="3"/>
      <c r="J757" s="3" t="s">
        <v>3524</v>
      </c>
      <c r="K757" s="3" t="s">
        <v>3545</v>
      </c>
      <c r="L757" s="3" t="s">
        <v>3546</v>
      </c>
      <c r="M757" s="3" t="s">
        <v>3547</v>
      </c>
      <c r="N757" s="3">
        <v>338.47910000000002</v>
      </c>
      <c r="O757" s="3" t="s">
        <v>3548</v>
      </c>
      <c r="P757" s="3" t="s">
        <v>25</v>
      </c>
      <c r="Q757" s="3" t="s">
        <v>5372</v>
      </c>
    </row>
    <row r="758" spans="1:17">
      <c r="A758" s="3">
        <v>3382501</v>
      </c>
      <c r="B758" s="3" t="s">
        <v>3549</v>
      </c>
      <c r="C758" s="3" t="str">
        <f>"9781904456643"</f>
        <v>9781904456643</v>
      </c>
      <c r="D758" s="3" t="str">
        <f>"9781906523640"</f>
        <v>9781906523640</v>
      </c>
      <c r="E758" s="3" t="s">
        <v>3523</v>
      </c>
      <c r="F758" s="3" t="s">
        <v>3523</v>
      </c>
      <c r="G758" s="4">
        <v>39356</v>
      </c>
      <c r="H758" s="3" t="s">
        <v>20</v>
      </c>
      <c r="I758" s="3"/>
      <c r="J758" s="3" t="s">
        <v>3524</v>
      </c>
      <c r="K758" s="3" t="s">
        <v>3550</v>
      </c>
      <c r="L758" s="3" t="s">
        <v>64</v>
      </c>
      <c r="M758" s="3" t="s">
        <v>3551</v>
      </c>
      <c r="N758" s="3">
        <v>306.76</v>
      </c>
      <c r="O758" s="3" t="s">
        <v>3552</v>
      </c>
      <c r="P758" s="3" t="s">
        <v>25</v>
      </c>
      <c r="Q758" s="3" t="s">
        <v>5373</v>
      </c>
    </row>
    <row r="759" spans="1:17">
      <c r="A759" s="3">
        <v>3382519</v>
      </c>
      <c r="B759" s="3" t="s">
        <v>3553</v>
      </c>
      <c r="C759" s="3" t="str">
        <f>"9781904456636"</f>
        <v>9781904456636</v>
      </c>
      <c r="D759" s="3" t="str">
        <f>"9781906523602"</f>
        <v>9781906523602</v>
      </c>
      <c r="E759" s="3" t="s">
        <v>3523</v>
      </c>
      <c r="F759" s="3" t="s">
        <v>3523</v>
      </c>
      <c r="G759" s="4">
        <v>39356</v>
      </c>
      <c r="H759" s="3" t="s">
        <v>20</v>
      </c>
      <c r="I759" s="3">
        <v>2</v>
      </c>
      <c r="J759" s="3" t="s">
        <v>3524</v>
      </c>
      <c r="K759" s="3" t="s">
        <v>3554</v>
      </c>
      <c r="L759" s="3" t="s">
        <v>714</v>
      </c>
      <c r="M759" s="3" t="s">
        <v>3555</v>
      </c>
      <c r="N759" s="3">
        <v>338.92200000000003</v>
      </c>
      <c r="O759" s="3" t="s">
        <v>3556</v>
      </c>
      <c r="P759" s="3" t="s">
        <v>25</v>
      </c>
      <c r="Q759" s="3" t="s">
        <v>5374</v>
      </c>
    </row>
    <row r="760" spans="1:17">
      <c r="A760" s="3">
        <v>3382520</v>
      </c>
      <c r="B760" s="3" t="s">
        <v>3557</v>
      </c>
      <c r="C760" s="3" t="str">
        <f>"9781904456438"</f>
        <v>9781904456438</v>
      </c>
      <c r="D760" s="3" t="str">
        <f>"9781906523732"</f>
        <v>9781906523732</v>
      </c>
      <c r="E760" s="3" t="s">
        <v>3523</v>
      </c>
      <c r="F760" s="3" t="s">
        <v>3523</v>
      </c>
      <c r="G760" s="4">
        <v>38991</v>
      </c>
      <c r="H760" s="3" t="s">
        <v>20</v>
      </c>
      <c r="I760" s="3"/>
      <c r="J760" s="3" t="s">
        <v>3524</v>
      </c>
      <c r="K760" s="3" t="s">
        <v>3558</v>
      </c>
      <c r="L760" s="3" t="s">
        <v>36</v>
      </c>
      <c r="M760" s="3" t="s">
        <v>3559</v>
      </c>
      <c r="N760" s="3">
        <v>382.92</v>
      </c>
      <c r="O760" s="3" t="s">
        <v>3560</v>
      </c>
      <c r="P760" s="3" t="s">
        <v>25</v>
      </c>
      <c r="Q760" s="3" t="s">
        <v>5375</v>
      </c>
    </row>
    <row r="761" spans="1:17">
      <c r="A761" s="3">
        <v>3382532</v>
      </c>
      <c r="B761" s="3" t="s">
        <v>3561</v>
      </c>
      <c r="C761" s="3" t="str">
        <f>"9781904456421"</f>
        <v>9781904456421</v>
      </c>
      <c r="D761" s="3" t="str">
        <f>"9781906523527"</f>
        <v>9781906523527</v>
      </c>
      <c r="E761" s="3" t="s">
        <v>3523</v>
      </c>
      <c r="F761" s="3" t="s">
        <v>3523</v>
      </c>
      <c r="G761" s="4">
        <v>38991</v>
      </c>
      <c r="H761" s="3" t="s">
        <v>20</v>
      </c>
      <c r="I761" s="3"/>
      <c r="J761" s="3" t="s">
        <v>3524</v>
      </c>
      <c r="K761" s="3" t="s">
        <v>3562</v>
      </c>
      <c r="L761" s="3" t="s">
        <v>64</v>
      </c>
      <c r="M761" s="3" t="s">
        <v>3563</v>
      </c>
      <c r="N761" s="3">
        <v>303.69</v>
      </c>
      <c r="O761" s="3" t="s">
        <v>3564</v>
      </c>
      <c r="P761" s="3" t="s">
        <v>25</v>
      </c>
      <c r="Q761" s="3" t="s">
        <v>5376</v>
      </c>
    </row>
    <row r="762" spans="1:17">
      <c r="A762" s="3">
        <v>3382545</v>
      </c>
      <c r="B762" s="3" t="s">
        <v>3565</v>
      </c>
      <c r="C762" s="3" t="str">
        <f>"9781780261232"</f>
        <v>9781780261232</v>
      </c>
      <c r="D762" s="3" t="str">
        <f>"9781780261270"</f>
        <v>9781780261270</v>
      </c>
      <c r="E762" s="3" t="s">
        <v>3523</v>
      </c>
      <c r="F762" s="3" t="s">
        <v>3523</v>
      </c>
      <c r="G762" s="4">
        <v>41758</v>
      </c>
      <c r="H762" s="3" t="s">
        <v>20</v>
      </c>
      <c r="I762" s="3"/>
      <c r="J762" s="3"/>
      <c r="K762" s="3" t="s">
        <v>3566</v>
      </c>
      <c r="L762" s="3" t="s">
        <v>649</v>
      </c>
      <c r="M762" s="3" t="s">
        <v>3567</v>
      </c>
      <c r="N762" s="3">
        <v>338.90089999999998</v>
      </c>
      <c r="O762" s="3" t="s">
        <v>3568</v>
      </c>
      <c r="P762" s="3" t="s">
        <v>25</v>
      </c>
      <c r="Q762" s="3" t="s">
        <v>5377</v>
      </c>
    </row>
    <row r="763" spans="1:17">
      <c r="A763" s="3">
        <v>3384060</v>
      </c>
      <c r="B763" s="3" t="s">
        <v>3569</v>
      </c>
      <c r="C763" s="3" t="str">
        <f>"9780780812758"</f>
        <v>9780780812758</v>
      </c>
      <c r="D763" s="3" t="str">
        <f>"9780780812765"</f>
        <v>9780780812765</v>
      </c>
      <c r="E763" s="3" t="s">
        <v>3570</v>
      </c>
      <c r="F763" s="3" t="s">
        <v>3571</v>
      </c>
      <c r="G763" s="4">
        <v>41214</v>
      </c>
      <c r="H763" s="3" t="s">
        <v>20</v>
      </c>
      <c r="I763" s="3">
        <v>5</v>
      </c>
      <c r="J763" s="3" t="s">
        <v>3572</v>
      </c>
      <c r="K763" s="3" t="s">
        <v>3573</v>
      </c>
      <c r="L763" s="3" t="s">
        <v>317</v>
      </c>
      <c r="M763" s="3" t="s">
        <v>3574</v>
      </c>
      <c r="N763" s="3">
        <v>616.89</v>
      </c>
      <c r="O763" s="3" t="s">
        <v>3575</v>
      </c>
      <c r="P763" s="3" t="s">
        <v>25</v>
      </c>
      <c r="Q763" s="3" t="s">
        <v>5378</v>
      </c>
    </row>
    <row r="764" spans="1:17">
      <c r="A764" s="3">
        <v>3399773</v>
      </c>
      <c r="B764" s="3" t="s">
        <v>3576</v>
      </c>
      <c r="C764" s="3" t="str">
        <f>"9781592534302"</f>
        <v>9781592534302</v>
      </c>
      <c r="D764" s="3" t="str">
        <f>"9781610601429"</f>
        <v>9781610601429</v>
      </c>
      <c r="E764" s="3" t="s">
        <v>3577</v>
      </c>
      <c r="F764" s="3" t="s">
        <v>3578</v>
      </c>
      <c r="G764" s="4">
        <v>39736</v>
      </c>
      <c r="H764" s="3" t="s">
        <v>20</v>
      </c>
      <c r="I764" s="3"/>
      <c r="J764" s="3"/>
      <c r="K764" s="3" t="s">
        <v>3579</v>
      </c>
      <c r="L764" s="3" t="s">
        <v>43</v>
      </c>
      <c r="M764" s="3" t="s">
        <v>3580</v>
      </c>
      <c r="N764" s="3">
        <v>741.67200000000003</v>
      </c>
      <c r="O764" s="3" t="s">
        <v>3581</v>
      </c>
      <c r="P764" s="3" t="s">
        <v>25</v>
      </c>
      <c r="Q764" s="3" t="s">
        <v>5379</v>
      </c>
    </row>
    <row r="765" spans="1:17">
      <c r="A765" s="3">
        <v>3399786</v>
      </c>
      <c r="B765" s="3" t="s">
        <v>3582</v>
      </c>
      <c r="C765" s="3" t="str">
        <f>"9781592535057"</f>
        <v>9781592535057</v>
      </c>
      <c r="D765" s="3" t="str">
        <f>"9781616736651"</f>
        <v>9781616736651</v>
      </c>
      <c r="E765" s="3" t="s">
        <v>3577</v>
      </c>
      <c r="F765" s="3" t="s">
        <v>3578</v>
      </c>
      <c r="G765" s="4">
        <v>39814</v>
      </c>
      <c r="H765" s="3" t="s">
        <v>20</v>
      </c>
      <c r="I765" s="3"/>
      <c r="J765" s="3"/>
      <c r="K765" s="3" t="s">
        <v>3583</v>
      </c>
      <c r="L765" s="3" t="s">
        <v>43</v>
      </c>
      <c r="M765" s="3" t="s">
        <v>3584</v>
      </c>
      <c r="N765" s="3">
        <v>741.67200000000003</v>
      </c>
      <c r="O765" s="3" t="s">
        <v>3585</v>
      </c>
      <c r="P765" s="3" t="s">
        <v>25</v>
      </c>
      <c r="Q765" s="3" t="s">
        <v>5380</v>
      </c>
    </row>
    <row r="766" spans="1:17">
      <c r="A766" s="3">
        <v>3399787</v>
      </c>
      <c r="B766" s="3" t="s">
        <v>3586</v>
      </c>
      <c r="C766" s="3" t="str">
        <f>"9781592534296"</f>
        <v>9781592534296</v>
      </c>
      <c r="D766" s="3" t="str">
        <f>"9781616736057"</f>
        <v>9781616736057</v>
      </c>
      <c r="E766" s="3" t="s">
        <v>3577</v>
      </c>
      <c r="F766" s="3" t="s">
        <v>3578</v>
      </c>
      <c r="G766" s="4">
        <v>39814</v>
      </c>
      <c r="H766" s="3" t="s">
        <v>20</v>
      </c>
      <c r="I766" s="3"/>
      <c r="J766" s="3"/>
      <c r="K766" s="3" t="s">
        <v>3587</v>
      </c>
      <c r="L766" s="3" t="s">
        <v>43</v>
      </c>
      <c r="M766" s="3" t="s">
        <v>3588</v>
      </c>
      <c r="N766" s="3">
        <v>746.92092200000002</v>
      </c>
      <c r="O766" s="3" t="s">
        <v>3589</v>
      </c>
      <c r="P766" s="3" t="s">
        <v>25</v>
      </c>
      <c r="Q766" s="3" t="s">
        <v>5381</v>
      </c>
    </row>
    <row r="767" spans="1:17">
      <c r="A767" s="3">
        <v>3399811</v>
      </c>
      <c r="B767" s="3" t="s">
        <v>3590</v>
      </c>
      <c r="C767" s="3" t="str">
        <f>"9781592534937"</f>
        <v>9781592534937</v>
      </c>
      <c r="D767" s="3" t="str">
        <f>"9781616736149"</f>
        <v>9781616736149</v>
      </c>
      <c r="E767" s="3" t="s">
        <v>3577</v>
      </c>
      <c r="F767" s="3" t="s">
        <v>3578</v>
      </c>
      <c r="G767" s="4">
        <v>39965</v>
      </c>
      <c r="H767" s="3" t="s">
        <v>20</v>
      </c>
      <c r="I767" s="3"/>
      <c r="J767" s="3"/>
      <c r="K767" s="3" t="s">
        <v>3591</v>
      </c>
      <c r="L767" s="3" t="s">
        <v>43</v>
      </c>
      <c r="M767" s="3" t="s">
        <v>3592</v>
      </c>
      <c r="N767" s="3">
        <v>741.6</v>
      </c>
      <c r="O767" s="3" t="s">
        <v>3593</v>
      </c>
      <c r="P767" s="3" t="s">
        <v>25</v>
      </c>
      <c r="Q767" s="3" t="s">
        <v>5382</v>
      </c>
    </row>
    <row r="768" spans="1:17">
      <c r="A768" s="3">
        <v>3399820</v>
      </c>
      <c r="B768" s="3" t="s">
        <v>3594</v>
      </c>
      <c r="C768" s="3" t="str">
        <f>"9781592534616"</f>
        <v>9781592534616</v>
      </c>
      <c r="D768" s="3" t="str">
        <f>"9781616736545"</f>
        <v>9781616736545</v>
      </c>
      <c r="E768" s="3" t="s">
        <v>3577</v>
      </c>
      <c r="F768" s="3" t="s">
        <v>3578</v>
      </c>
      <c r="G768" s="4">
        <v>39814</v>
      </c>
      <c r="H768" s="3" t="s">
        <v>20</v>
      </c>
      <c r="I768" s="3"/>
      <c r="J768" s="3"/>
      <c r="K768" s="3" t="s">
        <v>3595</v>
      </c>
      <c r="L768" s="3" t="s">
        <v>3596</v>
      </c>
      <c r="M768" s="3" t="s">
        <v>3597</v>
      </c>
      <c r="N768" s="3">
        <v>686.2</v>
      </c>
      <c r="O768" s="3" t="s">
        <v>3598</v>
      </c>
      <c r="P768" s="3" t="s">
        <v>25</v>
      </c>
      <c r="Q768" s="3" t="s">
        <v>5383</v>
      </c>
    </row>
    <row r="769" spans="1:17">
      <c r="A769" s="3">
        <v>3399845</v>
      </c>
      <c r="B769" s="3" t="s">
        <v>3599</v>
      </c>
      <c r="C769" s="3" t="str">
        <f>"9781592533312"</f>
        <v>9781592533312</v>
      </c>
      <c r="D769" s="3" t="str">
        <f>"9781610601689"</f>
        <v>9781610601689</v>
      </c>
      <c r="E769" s="3" t="s">
        <v>3577</v>
      </c>
      <c r="F769" s="3" t="s">
        <v>3578</v>
      </c>
      <c r="G769" s="4">
        <v>39173</v>
      </c>
      <c r="H769" s="3" t="s">
        <v>20</v>
      </c>
      <c r="I769" s="3"/>
      <c r="J769" s="3"/>
      <c r="K769" s="3" t="s">
        <v>3600</v>
      </c>
      <c r="L769" s="3" t="s">
        <v>43</v>
      </c>
      <c r="M769" s="3" t="s">
        <v>3580</v>
      </c>
      <c r="N769" s="3">
        <v>741.67200000000003</v>
      </c>
      <c r="O769" s="3" t="s">
        <v>3601</v>
      </c>
      <c r="P769" s="3" t="s">
        <v>25</v>
      </c>
      <c r="Q769" s="3" t="s">
        <v>5384</v>
      </c>
    </row>
    <row r="770" spans="1:17">
      <c r="A770" s="3">
        <v>3399902</v>
      </c>
      <c r="B770" s="3" t="s">
        <v>3602</v>
      </c>
      <c r="C770" s="3" t="str">
        <f>"9781592533305"</f>
        <v>9781592533305</v>
      </c>
      <c r="D770" s="3" t="str">
        <f>"9781610601696"</f>
        <v>9781610601696</v>
      </c>
      <c r="E770" s="3" t="s">
        <v>3577</v>
      </c>
      <c r="F770" s="3" t="s">
        <v>3578</v>
      </c>
      <c r="G770" s="4">
        <v>39173</v>
      </c>
      <c r="H770" s="3" t="s">
        <v>20</v>
      </c>
      <c r="I770" s="3"/>
      <c r="J770" s="3"/>
      <c r="K770" s="3" t="s">
        <v>3600</v>
      </c>
      <c r="L770" s="3" t="s">
        <v>43</v>
      </c>
      <c r="M770" s="3" t="s">
        <v>3580</v>
      </c>
      <c r="N770" s="3">
        <v>741.67200000000003</v>
      </c>
      <c r="O770" s="3" t="s">
        <v>3601</v>
      </c>
      <c r="P770" s="3" t="s">
        <v>25</v>
      </c>
      <c r="Q770" s="3" t="s">
        <v>5385</v>
      </c>
    </row>
    <row r="771" spans="1:17">
      <c r="A771" s="3">
        <v>3414458</v>
      </c>
      <c r="B771" s="3" t="s">
        <v>3603</v>
      </c>
      <c r="C771" s="3" t="str">
        <f>"9780252031892"</f>
        <v>9780252031892</v>
      </c>
      <c r="D771" s="3" t="str">
        <f>"9780252097478"</f>
        <v>9780252097478</v>
      </c>
      <c r="E771" s="3" t="s">
        <v>3604</v>
      </c>
      <c r="F771" s="3" t="s">
        <v>3604</v>
      </c>
      <c r="G771" s="4">
        <v>38982</v>
      </c>
      <c r="H771" s="3" t="s">
        <v>20</v>
      </c>
      <c r="I771" s="3">
        <v>1</v>
      </c>
      <c r="J771" s="3"/>
      <c r="K771" s="3" t="s">
        <v>3605</v>
      </c>
      <c r="L771" s="3" t="s">
        <v>64</v>
      </c>
      <c r="M771" s="3" t="s">
        <v>3606</v>
      </c>
      <c r="N771" s="3" t="s">
        <v>3607</v>
      </c>
      <c r="O771" s="3"/>
      <c r="P771" s="3" t="s">
        <v>25</v>
      </c>
      <c r="Q771" s="3" t="s">
        <v>5386</v>
      </c>
    </row>
    <row r="772" spans="1:17">
      <c r="A772" s="3">
        <v>3420850</v>
      </c>
      <c r="B772" s="3" t="s">
        <v>3608</v>
      </c>
      <c r="C772" s="3" t="str">
        <f>"9780300094442"</f>
        <v>9780300094442</v>
      </c>
      <c r="D772" s="3" t="str">
        <f>"9780300183627"</f>
        <v>9780300183627</v>
      </c>
      <c r="E772" s="3" t="s">
        <v>3609</v>
      </c>
      <c r="F772" s="3" t="s">
        <v>3609</v>
      </c>
      <c r="G772" s="4">
        <v>41058</v>
      </c>
      <c r="H772" s="3" t="s">
        <v>20</v>
      </c>
      <c r="I772" s="3"/>
      <c r="J772" s="3"/>
      <c r="K772" s="3" t="s">
        <v>3610</v>
      </c>
      <c r="L772" s="3" t="s">
        <v>22</v>
      </c>
      <c r="M772" s="3" t="s">
        <v>3611</v>
      </c>
      <c r="N772" s="3">
        <v>821.4</v>
      </c>
      <c r="O772" s="3" t="s">
        <v>3612</v>
      </c>
      <c r="P772" s="3" t="s">
        <v>25</v>
      </c>
      <c r="Q772" s="3" t="s">
        <v>5387</v>
      </c>
    </row>
    <row r="773" spans="1:17">
      <c r="A773" s="3">
        <v>3420854</v>
      </c>
      <c r="B773" s="3" t="s">
        <v>3613</v>
      </c>
      <c r="C773" s="3" t="str">
        <f>"9780300136029"</f>
        <v>9780300136029</v>
      </c>
      <c r="D773" s="3" t="str">
        <f>"9780300183351"</f>
        <v>9780300183351</v>
      </c>
      <c r="E773" s="3" t="s">
        <v>3609</v>
      </c>
      <c r="F773" s="3" t="s">
        <v>3609</v>
      </c>
      <c r="G773" s="4">
        <v>41051</v>
      </c>
      <c r="H773" s="3" t="s">
        <v>20</v>
      </c>
      <c r="I773" s="3"/>
      <c r="J773" s="3"/>
      <c r="K773" s="3" t="s">
        <v>3614</v>
      </c>
      <c r="L773" s="3" t="s">
        <v>3615</v>
      </c>
      <c r="M773" s="3" t="s">
        <v>3616</v>
      </c>
      <c r="N773" s="3" t="s">
        <v>3617</v>
      </c>
      <c r="O773" s="3" t="s">
        <v>3618</v>
      </c>
      <c r="P773" s="3" t="s">
        <v>25</v>
      </c>
      <c r="Q773" s="3" t="s">
        <v>5388</v>
      </c>
    </row>
    <row r="774" spans="1:17">
      <c r="A774" s="3">
        <v>3421066</v>
      </c>
      <c r="B774" s="3" t="s">
        <v>3619</v>
      </c>
      <c r="C774" s="3" t="str">
        <f>"9780300181791"</f>
        <v>9780300181791</v>
      </c>
      <c r="D774" s="3" t="str">
        <f>"9780300188271"</f>
        <v>9780300188271</v>
      </c>
      <c r="E774" s="3" t="s">
        <v>3609</v>
      </c>
      <c r="F774" s="3" t="s">
        <v>3609</v>
      </c>
      <c r="G774" s="4">
        <v>41212</v>
      </c>
      <c r="H774" s="3" t="s">
        <v>20</v>
      </c>
      <c r="I774" s="3"/>
      <c r="J774" s="3" t="s">
        <v>3620</v>
      </c>
      <c r="K774" s="3" t="s">
        <v>3621</v>
      </c>
      <c r="L774" s="3" t="s">
        <v>118</v>
      </c>
      <c r="M774" s="3" t="s">
        <v>3622</v>
      </c>
      <c r="N774" s="3">
        <v>221.61</v>
      </c>
      <c r="O774" s="3" t="s">
        <v>3623</v>
      </c>
      <c r="P774" s="3" t="s">
        <v>25</v>
      </c>
      <c r="Q774" s="3" t="s">
        <v>5389</v>
      </c>
    </row>
    <row r="775" spans="1:17">
      <c r="A775" s="3">
        <v>3421068</v>
      </c>
      <c r="B775" s="3" t="s">
        <v>3624</v>
      </c>
      <c r="C775" s="3" t="str">
        <f>"9780300181807"</f>
        <v>9780300181807</v>
      </c>
      <c r="D775" s="3" t="str">
        <f>"9780300189131"</f>
        <v>9780300189131</v>
      </c>
      <c r="E775" s="3" t="s">
        <v>3609</v>
      </c>
      <c r="F775" s="3" t="s">
        <v>3609</v>
      </c>
      <c r="G775" s="4">
        <v>41240</v>
      </c>
      <c r="H775" s="3" t="s">
        <v>20</v>
      </c>
      <c r="I775" s="3"/>
      <c r="J775" s="3" t="s">
        <v>3625</v>
      </c>
      <c r="K775" s="3" t="s">
        <v>3626</v>
      </c>
      <c r="L775" s="3" t="s">
        <v>219</v>
      </c>
      <c r="M775" s="3" t="s">
        <v>3627</v>
      </c>
      <c r="N775" s="3">
        <v>320.01</v>
      </c>
      <c r="O775" s="3" t="s">
        <v>3628</v>
      </c>
      <c r="P775" s="3" t="s">
        <v>25</v>
      </c>
      <c r="Q775" s="3" t="s">
        <v>5390</v>
      </c>
    </row>
    <row r="776" spans="1:17">
      <c r="A776" s="3">
        <v>3421352</v>
      </c>
      <c r="B776" s="3" t="s">
        <v>3629</v>
      </c>
      <c r="C776" s="3" t="str">
        <f>"9780300162271"</f>
        <v>9780300162271</v>
      </c>
      <c r="D776" s="3" t="str">
        <f>"9780300163773"</f>
        <v>9780300163773</v>
      </c>
      <c r="E776" s="3" t="s">
        <v>3609</v>
      </c>
      <c r="F776" s="3" t="s">
        <v>3609</v>
      </c>
      <c r="G776" s="4">
        <v>41667</v>
      </c>
      <c r="H776" s="3" t="s">
        <v>20</v>
      </c>
      <c r="I776" s="3"/>
      <c r="J776" s="3"/>
      <c r="K776" s="3" t="s">
        <v>3630</v>
      </c>
      <c r="L776" s="3" t="s">
        <v>504</v>
      </c>
      <c r="M776" s="3" t="s">
        <v>3631</v>
      </c>
      <c r="N776" s="3">
        <v>491.73129999999998</v>
      </c>
      <c r="O776" s="3" t="s">
        <v>3632</v>
      </c>
      <c r="P776" s="3" t="s">
        <v>25</v>
      </c>
      <c r="Q776" s="3" t="s">
        <v>5391</v>
      </c>
    </row>
    <row r="777" spans="1:17">
      <c r="A777" s="3">
        <v>3440213</v>
      </c>
      <c r="B777" s="3" t="s">
        <v>3633</v>
      </c>
      <c r="C777" s="3" t="str">
        <f>"9780780813625"</f>
        <v>9780780813625</v>
      </c>
      <c r="D777" s="3" t="str">
        <f>"9780780813632"</f>
        <v>9780780813632</v>
      </c>
      <c r="E777" s="3" t="s">
        <v>3570</v>
      </c>
      <c r="F777" s="3" t="s">
        <v>3571</v>
      </c>
      <c r="G777" s="4">
        <v>42160</v>
      </c>
      <c r="H777" s="3" t="s">
        <v>20</v>
      </c>
      <c r="I777" s="3">
        <v>5</v>
      </c>
      <c r="J777" s="3"/>
      <c r="K777" s="3" t="s">
        <v>3571</v>
      </c>
      <c r="L777" s="3" t="s">
        <v>64</v>
      </c>
      <c r="M777" s="3" t="s">
        <v>3634</v>
      </c>
      <c r="N777" s="3">
        <v>394.26029999999997</v>
      </c>
      <c r="O777" s="3" t="s">
        <v>3635</v>
      </c>
      <c r="P777" s="3" t="s">
        <v>25</v>
      </c>
      <c r="Q777" s="3" t="s">
        <v>5392</v>
      </c>
    </row>
    <row r="778" spans="1:17">
      <c r="A778" s="3">
        <v>3543950</v>
      </c>
      <c r="B778" s="3" t="s">
        <v>3636</v>
      </c>
      <c r="C778" s="3" t="str">
        <f>"9781925022384"</f>
        <v>9781925022384</v>
      </c>
      <c r="D778" s="3" t="str">
        <f>"9781925022391"</f>
        <v>9781925022391</v>
      </c>
      <c r="E778" s="3" t="s">
        <v>3637</v>
      </c>
      <c r="F778" s="3" t="s">
        <v>3637</v>
      </c>
      <c r="G778" s="4">
        <v>42125</v>
      </c>
      <c r="H778" s="3" t="s">
        <v>20</v>
      </c>
      <c r="I778" s="3">
        <v>1</v>
      </c>
      <c r="J778" s="3"/>
      <c r="K778" s="3" t="s">
        <v>3638</v>
      </c>
      <c r="L778" s="3" t="s">
        <v>219</v>
      </c>
      <c r="M778" s="3" t="s">
        <v>3639</v>
      </c>
      <c r="N778" s="3">
        <v>323.49095985999998</v>
      </c>
      <c r="O778" s="3" t="s">
        <v>3640</v>
      </c>
      <c r="P778" s="3" t="s">
        <v>25</v>
      </c>
      <c r="Q778" s="3" t="s">
        <v>5393</v>
      </c>
    </row>
    <row r="779" spans="1:17">
      <c r="A779" s="3">
        <v>3543953</v>
      </c>
      <c r="B779" s="3" t="s">
        <v>3641</v>
      </c>
      <c r="C779" s="3" t="str">
        <f>"9781925022247"</f>
        <v>9781925022247</v>
      </c>
      <c r="D779" s="3" t="str">
        <f>"9781925022254"</f>
        <v>9781925022254</v>
      </c>
      <c r="E779" s="3" t="s">
        <v>3637</v>
      </c>
      <c r="F779" s="3" t="s">
        <v>3637</v>
      </c>
      <c r="G779" s="4">
        <v>42064</v>
      </c>
      <c r="H779" s="3" t="s">
        <v>20</v>
      </c>
      <c r="I779" s="3">
        <v>1</v>
      </c>
      <c r="J779" s="3"/>
      <c r="K779" s="3" t="s">
        <v>3642</v>
      </c>
      <c r="L779" s="3" t="s">
        <v>58</v>
      </c>
      <c r="M779" s="3" t="s">
        <v>3643</v>
      </c>
      <c r="N779" s="3">
        <v>920.02</v>
      </c>
      <c r="O779" s="3" t="s">
        <v>3644</v>
      </c>
      <c r="P779" s="3" t="s">
        <v>25</v>
      </c>
      <c r="Q779" s="3" t="s">
        <v>5394</v>
      </c>
    </row>
    <row r="780" spans="1:17">
      <c r="A780" s="3">
        <v>3544751</v>
      </c>
      <c r="B780" s="3" t="s">
        <v>3645</v>
      </c>
      <c r="C780" s="3" t="str">
        <f>"9781869221881"</f>
        <v>9781869221881</v>
      </c>
      <c r="D780" s="3" t="str">
        <f>"9781869221980"</f>
        <v>9781869221980</v>
      </c>
      <c r="E780" s="3" t="s">
        <v>3646</v>
      </c>
      <c r="F780" s="3" t="s">
        <v>3646</v>
      </c>
      <c r="G780" s="4">
        <v>41275</v>
      </c>
      <c r="H780" s="3" t="s">
        <v>20</v>
      </c>
      <c r="I780" s="3">
        <v>1</v>
      </c>
      <c r="J780" s="3"/>
      <c r="K780" s="3" t="s">
        <v>3647</v>
      </c>
      <c r="L780" s="3" t="s">
        <v>36</v>
      </c>
      <c r="M780" s="3" t="s">
        <v>3648</v>
      </c>
      <c r="N780" s="3"/>
      <c r="O780" s="3" t="s">
        <v>3649</v>
      </c>
      <c r="P780" s="3" t="s">
        <v>25</v>
      </c>
      <c r="Q780" s="3" t="s">
        <v>5395</v>
      </c>
    </row>
    <row r="781" spans="1:17">
      <c r="A781" s="3">
        <v>3563878</v>
      </c>
      <c r="B781" s="3" t="s">
        <v>3650</v>
      </c>
      <c r="C781" s="3" t="str">
        <f>"9780830827053"</f>
        <v>9780830827053</v>
      </c>
      <c r="D781" s="3" t="str">
        <f>"9780830867080"</f>
        <v>9780830867080</v>
      </c>
      <c r="E781" s="3" t="s">
        <v>3063</v>
      </c>
      <c r="F781" s="3" t="s">
        <v>3063</v>
      </c>
      <c r="G781" s="4">
        <v>38747</v>
      </c>
      <c r="H781" s="3" t="s">
        <v>20</v>
      </c>
      <c r="I781" s="3">
        <v>1</v>
      </c>
      <c r="J781" s="3" t="s">
        <v>3081</v>
      </c>
      <c r="K781" s="3" t="s">
        <v>3651</v>
      </c>
      <c r="L781" s="3" t="s">
        <v>118</v>
      </c>
      <c r="M781" s="3"/>
      <c r="N781" s="3">
        <v>200</v>
      </c>
      <c r="O781" s="3"/>
      <c r="P781" s="3" t="s">
        <v>25</v>
      </c>
      <c r="Q781" s="3" t="s">
        <v>5396</v>
      </c>
    </row>
    <row r="782" spans="1:17">
      <c r="A782" s="3">
        <v>3572275</v>
      </c>
      <c r="B782" s="3" t="s">
        <v>3652</v>
      </c>
      <c r="C782" s="3" t="str">
        <f>"9783598235160"</f>
        <v>9783598235160</v>
      </c>
      <c r="D782" s="3" t="str">
        <f>"9783110971781"</f>
        <v>9783110971781</v>
      </c>
      <c r="E782" s="3" t="s">
        <v>2111</v>
      </c>
      <c r="F782" s="3" t="s">
        <v>2111</v>
      </c>
      <c r="G782" s="4">
        <v>39801</v>
      </c>
      <c r="H782" s="3" t="s">
        <v>20</v>
      </c>
      <c r="I782" s="3"/>
      <c r="J782" s="3"/>
      <c r="K782" s="3" t="s">
        <v>3653</v>
      </c>
      <c r="L782" s="3" t="s">
        <v>1590</v>
      </c>
      <c r="M782" s="3" t="s">
        <v>3654</v>
      </c>
      <c r="N782" s="3"/>
      <c r="O782" s="3" t="s">
        <v>3655</v>
      </c>
      <c r="P782" s="3" t="s">
        <v>25</v>
      </c>
      <c r="Q782" s="3" t="s">
        <v>5397</v>
      </c>
    </row>
    <row r="783" spans="1:17">
      <c r="A783" s="3">
        <v>4002136</v>
      </c>
      <c r="B783" s="3" t="s">
        <v>3656</v>
      </c>
      <c r="C783" s="3" t="str">
        <f>"9783598339073"</f>
        <v>9783598339073</v>
      </c>
      <c r="D783" s="3" t="str">
        <f>"9783110949261"</f>
        <v>9783110949261</v>
      </c>
      <c r="E783" s="3" t="s">
        <v>2111</v>
      </c>
      <c r="F783" s="3" t="s">
        <v>2111</v>
      </c>
      <c r="G783" s="4">
        <v>39534</v>
      </c>
      <c r="H783" s="3" t="s">
        <v>20</v>
      </c>
      <c r="I783" s="3"/>
      <c r="J783" s="3"/>
      <c r="K783" s="3" t="s">
        <v>3657</v>
      </c>
      <c r="L783" s="3" t="s">
        <v>58</v>
      </c>
      <c r="M783" s="3" t="s">
        <v>3658</v>
      </c>
      <c r="N783" s="3">
        <v>920</v>
      </c>
      <c r="O783" s="3" t="s">
        <v>3659</v>
      </c>
      <c r="P783" s="3" t="s">
        <v>25</v>
      </c>
      <c r="Q783" s="3" t="s">
        <v>5398</v>
      </c>
    </row>
    <row r="784" spans="1:17">
      <c r="A784" s="3">
        <v>4034178</v>
      </c>
      <c r="B784" s="3" t="s">
        <v>3660</v>
      </c>
      <c r="C784" s="3" t="str">
        <f>"9781444333503"</f>
        <v>9781444333503</v>
      </c>
      <c r="D784" s="3" t="str">
        <f>"9781118325087"</f>
        <v>9781118325087</v>
      </c>
      <c r="E784" s="3" t="s">
        <v>32</v>
      </c>
      <c r="F784" s="3" t="s">
        <v>33</v>
      </c>
      <c r="G784" s="4">
        <v>41960</v>
      </c>
      <c r="H784" s="3" t="s">
        <v>20</v>
      </c>
      <c r="I784" s="3">
        <v>1</v>
      </c>
      <c r="J784" s="3" t="s">
        <v>111</v>
      </c>
      <c r="K784" s="3" t="s">
        <v>3661</v>
      </c>
      <c r="L784" s="3" t="s">
        <v>43</v>
      </c>
      <c r="M784" s="3" t="s">
        <v>3662</v>
      </c>
      <c r="N784" s="3">
        <v>709.32</v>
      </c>
      <c r="O784" s="3" t="s">
        <v>3663</v>
      </c>
      <c r="P784" s="3" t="s">
        <v>25</v>
      </c>
      <c r="Q784" s="3" t="s">
        <v>5399</v>
      </c>
    </row>
    <row r="785" spans="1:17">
      <c r="A785" s="3">
        <v>4035676</v>
      </c>
      <c r="B785" s="3" t="s">
        <v>3664</v>
      </c>
      <c r="C785" s="3" t="str">
        <f>"9781118475010"</f>
        <v>9781118475010</v>
      </c>
      <c r="D785" s="3" t="str">
        <f>"9781118474921"</f>
        <v>9781118474921</v>
      </c>
      <c r="E785" s="3" t="s">
        <v>32</v>
      </c>
      <c r="F785" s="3" t="s">
        <v>33</v>
      </c>
      <c r="G785" s="4">
        <v>42352</v>
      </c>
      <c r="H785" s="3" t="s">
        <v>20</v>
      </c>
      <c r="I785" s="3">
        <v>1</v>
      </c>
      <c r="J785" s="3"/>
      <c r="K785" s="3" t="s">
        <v>3665</v>
      </c>
      <c r="L785" s="3" t="s">
        <v>3666</v>
      </c>
      <c r="M785" s="3" t="s">
        <v>3667</v>
      </c>
      <c r="N785" s="3" t="s">
        <v>3668</v>
      </c>
      <c r="O785" s="3" t="s">
        <v>3669</v>
      </c>
      <c r="P785" s="3" t="s">
        <v>25</v>
      </c>
      <c r="Q785" s="3" t="s">
        <v>5400</v>
      </c>
    </row>
    <row r="786" spans="1:17">
      <c r="A786" s="3">
        <v>4036301</v>
      </c>
      <c r="B786" s="3" t="s">
        <v>3670</v>
      </c>
      <c r="C786" s="3" t="str">
        <f>"9780631230458"</f>
        <v>9780631230458</v>
      </c>
      <c r="D786" s="3" t="str">
        <f>"9781118556658"</f>
        <v>9781118556658</v>
      </c>
      <c r="E786" s="3" t="s">
        <v>32</v>
      </c>
      <c r="F786" s="3" t="s">
        <v>33</v>
      </c>
      <c r="G786" s="4">
        <v>39944</v>
      </c>
      <c r="H786" s="3" t="s">
        <v>20</v>
      </c>
      <c r="I786" s="3">
        <v>1</v>
      </c>
      <c r="J786" s="3" t="s">
        <v>111</v>
      </c>
      <c r="K786" s="3" t="s">
        <v>3671</v>
      </c>
      <c r="L786" s="3" t="s">
        <v>58</v>
      </c>
      <c r="M786" s="3" t="s">
        <v>3672</v>
      </c>
      <c r="N786" s="3">
        <v>938</v>
      </c>
      <c r="O786" s="3" t="s">
        <v>3673</v>
      </c>
      <c r="P786" s="3" t="s">
        <v>25</v>
      </c>
      <c r="Q786" s="3" t="s">
        <v>5401</v>
      </c>
    </row>
    <row r="787" spans="1:17">
      <c r="A787" s="3">
        <v>4036736</v>
      </c>
      <c r="B787" s="3" t="s">
        <v>3674</v>
      </c>
      <c r="C787" s="3" t="str">
        <f>"9781405194457"</f>
        <v>9781405194457</v>
      </c>
      <c r="D787" s="3" t="str">
        <f>"9781118607237"</f>
        <v>9781118607237</v>
      </c>
      <c r="E787" s="3" t="s">
        <v>32</v>
      </c>
      <c r="F787" s="3" t="s">
        <v>33</v>
      </c>
      <c r="G787" s="4">
        <v>42233</v>
      </c>
      <c r="H787" s="3" t="s">
        <v>20</v>
      </c>
      <c r="I787" s="3">
        <v>1</v>
      </c>
      <c r="J787" s="3" t="s">
        <v>398</v>
      </c>
      <c r="K787" s="3" t="s">
        <v>3675</v>
      </c>
      <c r="L787" s="3" t="s">
        <v>22</v>
      </c>
      <c r="M787" s="3" t="s">
        <v>3676</v>
      </c>
      <c r="N787" s="3">
        <v>823.00900000000001</v>
      </c>
      <c r="O787" s="3" t="s">
        <v>3677</v>
      </c>
      <c r="P787" s="3" t="s">
        <v>25</v>
      </c>
      <c r="Q787" s="3" t="s">
        <v>5402</v>
      </c>
    </row>
    <row r="788" spans="1:17">
      <c r="A788" s="3">
        <v>4036738</v>
      </c>
      <c r="B788" s="3" t="s">
        <v>3678</v>
      </c>
      <c r="C788" s="3" t="str">
        <f>"9781444332841"</f>
        <v>9781444332841</v>
      </c>
      <c r="D788" s="3" t="str">
        <f>"9781118607299"</f>
        <v>9781118607299</v>
      </c>
      <c r="E788" s="3" t="s">
        <v>32</v>
      </c>
      <c r="F788" s="3" t="s">
        <v>33</v>
      </c>
      <c r="G788" s="4">
        <v>41897</v>
      </c>
      <c r="H788" s="3" t="s">
        <v>20</v>
      </c>
      <c r="I788" s="3">
        <v>1</v>
      </c>
      <c r="J788" s="3" t="s">
        <v>186</v>
      </c>
      <c r="K788" s="3" t="s">
        <v>3679</v>
      </c>
      <c r="L788" s="3" t="s">
        <v>182</v>
      </c>
      <c r="M788" s="3" t="s">
        <v>3680</v>
      </c>
      <c r="N788" s="3">
        <v>194</v>
      </c>
      <c r="O788" s="3" t="s">
        <v>3681</v>
      </c>
      <c r="P788" s="3" t="s">
        <v>25</v>
      </c>
      <c r="Q788" s="3" t="s">
        <v>5403</v>
      </c>
    </row>
    <row r="789" spans="1:17">
      <c r="A789" s="3">
        <v>4037359</v>
      </c>
      <c r="B789" s="3" t="s">
        <v>3682</v>
      </c>
      <c r="C789" s="3" t="str">
        <f>"9780631206873"</f>
        <v>9780631206873</v>
      </c>
      <c r="D789" s="3" t="str">
        <f>"9781118661635"</f>
        <v>9781118661635</v>
      </c>
      <c r="E789" s="3" t="s">
        <v>32</v>
      </c>
      <c r="F789" s="3" t="s">
        <v>33</v>
      </c>
      <c r="G789" s="4">
        <v>39923</v>
      </c>
      <c r="H789" s="3" t="s">
        <v>20</v>
      </c>
      <c r="I789" s="3">
        <v>1</v>
      </c>
      <c r="J789" s="3" t="s">
        <v>398</v>
      </c>
      <c r="K789" s="3" t="s">
        <v>3683</v>
      </c>
      <c r="L789" s="3" t="s">
        <v>22</v>
      </c>
      <c r="M789" s="3" t="s">
        <v>3684</v>
      </c>
      <c r="N789" s="3" t="s">
        <v>3685</v>
      </c>
      <c r="O789" s="3" t="s">
        <v>3686</v>
      </c>
      <c r="P789" s="3" t="s">
        <v>25</v>
      </c>
      <c r="Q789" s="3" t="s">
        <v>5404</v>
      </c>
    </row>
    <row r="790" spans="1:17">
      <c r="A790" s="3">
        <v>4038059</v>
      </c>
      <c r="B790" s="3" t="s">
        <v>3687</v>
      </c>
      <c r="C790" s="3" t="str">
        <f>"9781118718667"</f>
        <v>9781118718667</v>
      </c>
      <c r="D790" s="3" t="str">
        <f>"9781118718650"</f>
        <v>9781118718650</v>
      </c>
      <c r="E790" s="3" t="s">
        <v>32</v>
      </c>
      <c r="F790" s="3" t="s">
        <v>32</v>
      </c>
      <c r="G790" s="4">
        <v>42255</v>
      </c>
      <c r="H790" s="3" t="s">
        <v>20</v>
      </c>
      <c r="I790" s="3">
        <v>1</v>
      </c>
      <c r="J790" s="3" t="s">
        <v>718</v>
      </c>
      <c r="K790" s="3" t="s">
        <v>3688</v>
      </c>
      <c r="L790" s="3" t="s">
        <v>118</v>
      </c>
      <c r="M790" s="3" t="s">
        <v>3689</v>
      </c>
      <c r="N790" s="3" t="s">
        <v>3690</v>
      </c>
      <c r="O790" s="3" t="s">
        <v>3691</v>
      </c>
      <c r="P790" s="3" t="s">
        <v>25</v>
      </c>
      <c r="Q790" s="3" t="s">
        <v>5405</v>
      </c>
    </row>
    <row r="791" spans="1:17">
      <c r="A791" s="3">
        <v>4038118</v>
      </c>
      <c r="B791" s="3" t="s">
        <v>3692</v>
      </c>
      <c r="C791" s="3" t="str">
        <f>"9781118726822"</f>
        <v>9781118726822</v>
      </c>
      <c r="D791" s="3" t="str">
        <f>"9781118726754"</f>
        <v>9781118726754</v>
      </c>
      <c r="E791" s="3" t="s">
        <v>32</v>
      </c>
      <c r="F791" s="3" t="s">
        <v>33</v>
      </c>
      <c r="G791" s="4">
        <v>42275</v>
      </c>
      <c r="H791" s="3" t="s">
        <v>20</v>
      </c>
      <c r="I791" s="3">
        <v>1</v>
      </c>
      <c r="J791" s="3" t="s">
        <v>3693</v>
      </c>
      <c r="K791" s="3" t="s">
        <v>3694</v>
      </c>
      <c r="L791" s="3" t="s">
        <v>64</v>
      </c>
      <c r="M791" s="3" t="s">
        <v>3695</v>
      </c>
      <c r="N791" s="3">
        <v>364.10660000000001</v>
      </c>
      <c r="O791" s="3" t="s">
        <v>3696</v>
      </c>
      <c r="P791" s="3" t="s">
        <v>25</v>
      </c>
      <c r="Q791" s="3" t="s">
        <v>5406</v>
      </c>
    </row>
    <row r="792" spans="1:17">
      <c r="A792" s="3">
        <v>4038461</v>
      </c>
      <c r="B792" s="3" t="s">
        <v>3697</v>
      </c>
      <c r="C792" s="3" t="str">
        <f>"9781118762165"</f>
        <v>9781118762165</v>
      </c>
      <c r="D792" s="3" t="str">
        <f>"9781118762196"</f>
        <v>9781118762196</v>
      </c>
      <c r="E792" s="3" t="s">
        <v>32</v>
      </c>
      <c r="F792" s="3" t="s">
        <v>530</v>
      </c>
      <c r="G792" s="4">
        <v>42282</v>
      </c>
      <c r="H792" s="3" t="s">
        <v>20</v>
      </c>
      <c r="I792" s="3">
        <v>2</v>
      </c>
      <c r="J792" s="3" t="s">
        <v>1511</v>
      </c>
      <c r="K792" s="3" t="s">
        <v>642</v>
      </c>
      <c r="L792" s="3" t="s">
        <v>532</v>
      </c>
      <c r="M792" s="3" t="s">
        <v>3698</v>
      </c>
      <c r="N792" s="3" t="s">
        <v>1514</v>
      </c>
      <c r="O792" s="3" t="s">
        <v>3699</v>
      </c>
      <c r="P792" s="3" t="s">
        <v>25</v>
      </c>
      <c r="Q792" s="3" t="s">
        <v>5407</v>
      </c>
    </row>
    <row r="793" spans="1:17">
      <c r="A793" s="3">
        <v>4038528</v>
      </c>
      <c r="B793" s="3" t="s">
        <v>3700</v>
      </c>
      <c r="C793" s="3" t="str">
        <f>"9781118768945"</f>
        <v>9781118768945</v>
      </c>
      <c r="D793" s="3" t="str">
        <f>"9781118768808"</f>
        <v>9781118768808</v>
      </c>
      <c r="E793" s="3" t="s">
        <v>32</v>
      </c>
      <c r="F793" s="3" t="s">
        <v>33</v>
      </c>
      <c r="G793" s="4">
        <v>41897</v>
      </c>
      <c r="H793" s="3" t="s">
        <v>20</v>
      </c>
      <c r="I793" s="3">
        <v>1</v>
      </c>
      <c r="J793" s="3"/>
      <c r="K793" s="3" t="s">
        <v>3701</v>
      </c>
      <c r="L793" s="3" t="s">
        <v>43</v>
      </c>
      <c r="M793" s="3" t="s">
        <v>3702</v>
      </c>
      <c r="N793" s="3">
        <v>703</v>
      </c>
      <c r="O793" s="3" t="s">
        <v>3703</v>
      </c>
      <c r="P793" s="3" t="s">
        <v>25</v>
      </c>
      <c r="Q793" s="3" t="s">
        <v>5408</v>
      </c>
    </row>
    <row r="794" spans="1:17">
      <c r="A794" s="3">
        <v>4038665</v>
      </c>
      <c r="B794" s="3" t="s">
        <v>3704</v>
      </c>
      <c r="C794" s="3" t="str">
        <f>"9781444331356"</f>
        <v>9781444331356</v>
      </c>
      <c r="D794" s="3" t="str">
        <f>"9781118786277"</f>
        <v>9781118786277</v>
      </c>
      <c r="E794" s="3" t="s">
        <v>32</v>
      </c>
      <c r="F794" s="3" t="s">
        <v>33</v>
      </c>
      <c r="G794" s="4">
        <v>42177</v>
      </c>
      <c r="H794" s="3" t="s">
        <v>20</v>
      </c>
      <c r="I794" s="3">
        <v>1</v>
      </c>
      <c r="J794" s="3" t="s">
        <v>718</v>
      </c>
      <c r="K794" s="3" t="s">
        <v>3705</v>
      </c>
      <c r="L794" s="3" t="s">
        <v>118</v>
      </c>
      <c r="M794" s="3" t="s">
        <v>3706</v>
      </c>
      <c r="N794" s="3">
        <v>295</v>
      </c>
      <c r="O794" s="3" t="s">
        <v>3707</v>
      </c>
      <c r="P794" s="3" t="s">
        <v>25</v>
      </c>
      <c r="Q794" s="3" t="s">
        <v>5409</v>
      </c>
    </row>
    <row r="795" spans="1:17">
      <c r="A795" s="3">
        <v>4038803</v>
      </c>
      <c r="B795" s="3" t="s">
        <v>3708</v>
      </c>
      <c r="C795" s="3" t="str">
        <f>"9781444351316"</f>
        <v>9781444351316</v>
      </c>
      <c r="D795" s="3" t="str">
        <f>"9781118802953"</f>
        <v>9781118802953</v>
      </c>
      <c r="E795" s="3" t="s">
        <v>32</v>
      </c>
      <c r="F795" s="3" t="s">
        <v>33</v>
      </c>
      <c r="G795" s="4">
        <v>41743</v>
      </c>
      <c r="H795" s="3" t="s">
        <v>20</v>
      </c>
      <c r="I795" s="3">
        <v>1</v>
      </c>
      <c r="J795" s="3" t="s">
        <v>301</v>
      </c>
      <c r="K795" s="3" t="s">
        <v>3709</v>
      </c>
      <c r="L795" s="3" t="s">
        <v>58</v>
      </c>
      <c r="M795" s="3" t="s">
        <v>3710</v>
      </c>
      <c r="N795" s="3">
        <v>973.7</v>
      </c>
      <c r="O795" s="3" t="s">
        <v>3711</v>
      </c>
      <c r="P795" s="3" t="s">
        <v>25</v>
      </c>
      <c r="Q795" s="3" t="s">
        <v>5410</v>
      </c>
    </row>
    <row r="796" spans="1:17">
      <c r="A796" s="3">
        <v>4039197</v>
      </c>
      <c r="B796" s="3" t="s">
        <v>3712</v>
      </c>
      <c r="C796" s="3" t="str">
        <f>"9781118845240"</f>
        <v>9781118845240</v>
      </c>
      <c r="D796" s="3" t="str">
        <f>"9781118845288"</f>
        <v>9781118845288</v>
      </c>
      <c r="E796" s="3" t="s">
        <v>32</v>
      </c>
      <c r="F796" s="3" t="s">
        <v>32</v>
      </c>
      <c r="G796" s="4">
        <v>42255</v>
      </c>
      <c r="H796" s="3" t="s">
        <v>20</v>
      </c>
      <c r="I796" s="3">
        <v>1</v>
      </c>
      <c r="J796" s="3" t="s">
        <v>786</v>
      </c>
      <c r="K796" s="3" t="s">
        <v>3713</v>
      </c>
      <c r="L796" s="3" t="s">
        <v>532</v>
      </c>
      <c r="M796" s="3" t="s">
        <v>3714</v>
      </c>
      <c r="N796" s="3">
        <v>372.41</v>
      </c>
      <c r="O796" s="3" t="s">
        <v>3715</v>
      </c>
      <c r="P796" s="3" t="s">
        <v>25</v>
      </c>
      <c r="Q796" s="3" t="s">
        <v>5411</v>
      </c>
    </row>
    <row r="797" spans="1:17">
      <c r="A797" s="3">
        <v>4039553</v>
      </c>
      <c r="B797" s="3" t="s">
        <v>3716</v>
      </c>
      <c r="C797" s="3" t="str">
        <f>"9781405192880"</f>
        <v>9781405192880</v>
      </c>
      <c r="D797" s="3" t="str">
        <f>"9781118886045"</f>
        <v>9781118886045</v>
      </c>
      <c r="E797" s="3" t="s">
        <v>32</v>
      </c>
      <c r="F797" s="3" t="s">
        <v>33</v>
      </c>
      <c r="G797" s="4">
        <v>42359</v>
      </c>
      <c r="H797" s="3" t="s">
        <v>20</v>
      </c>
      <c r="I797" s="3">
        <v>1</v>
      </c>
      <c r="J797" s="3" t="s">
        <v>111</v>
      </c>
      <c r="K797" s="3" t="s">
        <v>3717</v>
      </c>
      <c r="L797" s="3" t="s">
        <v>43</v>
      </c>
      <c r="M797" s="3" t="s">
        <v>3718</v>
      </c>
      <c r="N797" s="3">
        <v>709.37</v>
      </c>
      <c r="O797" s="3" t="s">
        <v>3719</v>
      </c>
      <c r="P797" s="3" t="s">
        <v>25</v>
      </c>
      <c r="Q797" s="3" t="s">
        <v>5412</v>
      </c>
    </row>
    <row r="798" spans="1:17">
      <c r="A798" s="3">
        <v>4039820</v>
      </c>
      <c r="B798" s="3" t="s">
        <v>3720</v>
      </c>
      <c r="C798" s="3" t="str">
        <f>"9781118573945"</f>
        <v>9781118573945</v>
      </c>
      <c r="D798" s="3" t="str">
        <f>"9781118916247"</f>
        <v>9781118916247</v>
      </c>
      <c r="E798" s="3" t="s">
        <v>32</v>
      </c>
      <c r="F798" s="3" t="s">
        <v>33</v>
      </c>
      <c r="G798" s="4">
        <v>42255</v>
      </c>
      <c r="H798" s="3" t="s">
        <v>20</v>
      </c>
      <c r="I798" s="3">
        <v>1</v>
      </c>
      <c r="J798" s="3" t="s">
        <v>3721</v>
      </c>
      <c r="K798" s="3" t="s">
        <v>3722</v>
      </c>
      <c r="L798" s="3" t="s">
        <v>199</v>
      </c>
      <c r="M798" s="3" t="s">
        <v>3723</v>
      </c>
      <c r="N798" s="3" t="s">
        <v>3724</v>
      </c>
      <c r="O798" s="3" t="s">
        <v>3725</v>
      </c>
      <c r="P798" s="3" t="s">
        <v>25</v>
      </c>
      <c r="Q798" s="3" t="s">
        <v>5413</v>
      </c>
    </row>
    <row r="799" spans="1:17">
      <c r="A799" s="3">
        <v>4040294</v>
      </c>
      <c r="B799" s="3" t="s">
        <v>3726</v>
      </c>
      <c r="C799" s="3" t="str">
        <f>"9781118978986"</f>
        <v>9781118978986</v>
      </c>
      <c r="D799" s="3" t="str">
        <f>"9781118979006"</f>
        <v>9781118979006</v>
      </c>
      <c r="E799" s="3" t="s">
        <v>32</v>
      </c>
      <c r="F799" s="3" t="s">
        <v>33</v>
      </c>
      <c r="G799" s="4">
        <v>42340</v>
      </c>
      <c r="H799" s="3" t="s">
        <v>20</v>
      </c>
      <c r="I799" s="3">
        <v>1</v>
      </c>
      <c r="J799" s="3" t="s">
        <v>2195</v>
      </c>
      <c r="K799" s="3" t="s">
        <v>3727</v>
      </c>
      <c r="L799" s="3" t="s">
        <v>199</v>
      </c>
      <c r="M799" s="3" t="s">
        <v>3728</v>
      </c>
      <c r="N799" s="3">
        <v>158.69999999999999</v>
      </c>
      <c r="O799" s="3" t="s">
        <v>3729</v>
      </c>
      <c r="P799" s="3" t="s">
        <v>25</v>
      </c>
      <c r="Q799" s="3" t="s">
        <v>5414</v>
      </c>
    </row>
    <row r="800" spans="1:17">
      <c r="A800" s="3">
        <v>4040883</v>
      </c>
      <c r="B800" s="3" t="s">
        <v>3730</v>
      </c>
      <c r="C800" s="3" t="str">
        <f>"9781119025573"</f>
        <v>9781119025573</v>
      </c>
      <c r="D800" s="3" t="str">
        <f>"9781119062356"</f>
        <v>9781119062356</v>
      </c>
      <c r="E800" s="3" t="s">
        <v>32</v>
      </c>
      <c r="F800" s="3" t="s">
        <v>33</v>
      </c>
      <c r="G800" s="4">
        <v>39944</v>
      </c>
      <c r="H800" s="3" t="s">
        <v>20</v>
      </c>
      <c r="I800" s="3">
        <v>1</v>
      </c>
      <c r="J800" s="3" t="s">
        <v>111</v>
      </c>
      <c r="K800" s="3" t="s">
        <v>3731</v>
      </c>
      <c r="L800" s="3" t="s">
        <v>58</v>
      </c>
      <c r="M800" s="3" t="s">
        <v>3732</v>
      </c>
      <c r="N800" s="3">
        <v>937.05092000000002</v>
      </c>
      <c r="O800" s="3" t="s">
        <v>3733</v>
      </c>
      <c r="P800" s="3" t="s">
        <v>25</v>
      </c>
      <c r="Q800" s="3" t="s">
        <v>5415</v>
      </c>
    </row>
    <row r="801" spans="1:17">
      <c r="A801" s="3">
        <v>4040928</v>
      </c>
      <c r="B801" s="3" t="s">
        <v>3734</v>
      </c>
      <c r="C801" s="3" t="str">
        <f>"9781444351095"</f>
        <v>9781444351095</v>
      </c>
      <c r="D801" s="3" t="str">
        <f>"9781119071884"</f>
        <v>9781119071884</v>
      </c>
      <c r="E801" s="3" t="s">
        <v>32</v>
      </c>
      <c r="F801" s="3" t="s">
        <v>33</v>
      </c>
      <c r="G801" s="4">
        <v>42331</v>
      </c>
      <c r="H801" s="3" t="s">
        <v>20</v>
      </c>
      <c r="I801" s="3">
        <v>1</v>
      </c>
      <c r="J801" s="3" t="s">
        <v>301</v>
      </c>
      <c r="K801" s="3" t="s">
        <v>3735</v>
      </c>
      <c r="L801" s="3" t="s">
        <v>58</v>
      </c>
      <c r="M801" s="3" t="s">
        <v>3736</v>
      </c>
      <c r="N801" s="3">
        <v>973.82092</v>
      </c>
      <c r="O801" s="3" t="s">
        <v>3737</v>
      </c>
      <c r="P801" s="3" t="s">
        <v>25</v>
      </c>
      <c r="Q801" s="3" t="s">
        <v>5416</v>
      </c>
    </row>
    <row r="802" spans="1:17">
      <c r="A802" s="3">
        <v>4041625</v>
      </c>
      <c r="B802" s="3" t="s">
        <v>3738</v>
      </c>
      <c r="C802" s="3" t="str">
        <f>"9781405189491"</f>
        <v>9781405189491</v>
      </c>
      <c r="D802" s="3" t="str">
        <f>"9781444340464"</f>
        <v>9781444340464</v>
      </c>
      <c r="E802" s="3" t="s">
        <v>32</v>
      </c>
      <c r="F802" s="3" t="s">
        <v>33</v>
      </c>
      <c r="G802" s="4">
        <v>40669</v>
      </c>
      <c r="H802" s="3" t="s">
        <v>20</v>
      </c>
      <c r="I802" s="3">
        <v>1</v>
      </c>
      <c r="J802" s="3" t="s">
        <v>860</v>
      </c>
      <c r="K802" s="3" t="s">
        <v>3739</v>
      </c>
      <c r="L802" s="3" t="s">
        <v>64</v>
      </c>
      <c r="M802" s="3" t="s">
        <v>3740</v>
      </c>
      <c r="N802" s="3">
        <v>306.46129999999999</v>
      </c>
      <c r="O802" s="3"/>
      <c r="P802" s="3" t="s">
        <v>25</v>
      </c>
      <c r="Q802" s="3" t="s">
        <v>5417</v>
      </c>
    </row>
    <row r="803" spans="1:17">
      <c r="A803" s="3">
        <v>4041627</v>
      </c>
      <c r="B803" s="3" t="s">
        <v>3741</v>
      </c>
      <c r="C803" s="3" t="str">
        <f>"9781405190572"</f>
        <v>9781405190572</v>
      </c>
      <c r="D803" s="3" t="str">
        <f>"9781444340587"</f>
        <v>9781444340587</v>
      </c>
      <c r="E803" s="3" t="s">
        <v>32</v>
      </c>
      <c r="F803" s="3" t="s">
        <v>33</v>
      </c>
      <c r="G803" s="4">
        <v>40651</v>
      </c>
      <c r="H803" s="3" t="s">
        <v>20</v>
      </c>
      <c r="I803" s="3">
        <v>1</v>
      </c>
      <c r="J803" s="3" t="s">
        <v>455</v>
      </c>
      <c r="K803" s="3" t="s">
        <v>3742</v>
      </c>
      <c r="L803" s="3" t="s">
        <v>58</v>
      </c>
      <c r="M803" s="3" t="s">
        <v>3743</v>
      </c>
      <c r="N803" s="3">
        <v>972</v>
      </c>
      <c r="O803" s="3" t="s">
        <v>3744</v>
      </c>
      <c r="P803" s="3" t="s">
        <v>25</v>
      </c>
      <c r="Q803" s="3" t="s">
        <v>5418</v>
      </c>
    </row>
    <row r="804" spans="1:17">
      <c r="A804" s="3">
        <v>4041633</v>
      </c>
      <c r="B804" s="3" t="s">
        <v>3745</v>
      </c>
      <c r="C804" s="3" t="str">
        <f>"9781444330175"</f>
        <v>9781444330175</v>
      </c>
      <c r="D804" s="3" t="str">
        <f>"9781444340938"</f>
        <v>9781444340938</v>
      </c>
      <c r="E804" s="3" t="s">
        <v>32</v>
      </c>
      <c r="F804" s="3" t="s">
        <v>33</v>
      </c>
      <c r="G804" s="4">
        <v>40651</v>
      </c>
      <c r="H804" s="3" t="s">
        <v>20</v>
      </c>
      <c r="I804" s="3">
        <v>1</v>
      </c>
      <c r="J804" s="3" t="s">
        <v>301</v>
      </c>
      <c r="K804" s="3" t="s">
        <v>3746</v>
      </c>
      <c r="L804" s="3" t="s">
        <v>58</v>
      </c>
      <c r="M804" s="3" t="s">
        <v>3747</v>
      </c>
      <c r="N804" s="3" t="s">
        <v>3748</v>
      </c>
      <c r="O804" s="3" t="s">
        <v>3749</v>
      </c>
      <c r="P804" s="3" t="s">
        <v>25</v>
      </c>
      <c r="Q804" s="3" t="s">
        <v>5419</v>
      </c>
    </row>
    <row r="805" spans="1:17">
      <c r="A805" s="3">
        <v>4041652</v>
      </c>
      <c r="B805" s="3" t="s">
        <v>3750</v>
      </c>
      <c r="C805" s="3" t="str">
        <f>"9781405199964"</f>
        <v>9781405199964</v>
      </c>
      <c r="D805" s="3" t="str">
        <f>"9781444342130"</f>
        <v>9781444342130</v>
      </c>
      <c r="E805" s="3" t="s">
        <v>32</v>
      </c>
      <c r="F805" s="3" t="s">
        <v>33</v>
      </c>
      <c r="G805" s="4">
        <v>40770</v>
      </c>
      <c r="H805" s="3" t="s">
        <v>20</v>
      </c>
      <c r="I805" s="3">
        <v>1</v>
      </c>
      <c r="J805" s="3" t="s">
        <v>301</v>
      </c>
      <c r="K805" s="3" t="s">
        <v>3751</v>
      </c>
      <c r="L805" s="3" t="s">
        <v>58</v>
      </c>
      <c r="M805" s="3" t="s">
        <v>3752</v>
      </c>
      <c r="N805" s="3" t="s">
        <v>3753</v>
      </c>
      <c r="O805" s="3" t="s">
        <v>3754</v>
      </c>
      <c r="P805" s="3" t="s">
        <v>25</v>
      </c>
      <c r="Q805" s="3" t="s">
        <v>5420</v>
      </c>
    </row>
    <row r="806" spans="1:17">
      <c r="A806" s="3">
        <v>4041664</v>
      </c>
      <c r="B806" s="3" t="s">
        <v>3755</v>
      </c>
      <c r="C806" s="3" t="str">
        <f>"9781405110440"</f>
        <v>9781405110440</v>
      </c>
      <c r="D806" s="3" t="str">
        <f>"9781444342949"</f>
        <v>9781444342949</v>
      </c>
      <c r="E806" s="3" t="s">
        <v>32</v>
      </c>
      <c r="F806" s="3" t="s">
        <v>33</v>
      </c>
      <c r="G806" s="4">
        <v>39450</v>
      </c>
      <c r="H806" s="3" t="s">
        <v>20</v>
      </c>
      <c r="I806" s="3">
        <v>1</v>
      </c>
      <c r="J806" s="3" t="s">
        <v>398</v>
      </c>
      <c r="K806" s="3" t="s">
        <v>3756</v>
      </c>
      <c r="L806" s="3" t="s">
        <v>22</v>
      </c>
      <c r="M806" s="3" t="s">
        <v>3757</v>
      </c>
      <c r="N806" s="3" t="s">
        <v>3758</v>
      </c>
      <c r="O806" s="3" t="s">
        <v>3759</v>
      </c>
      <c r="P806" s="3" t="s">
        <v>25</v>
      </c>
      <c r="Q806" s="3" t="s">
        <v>5421</v>
      </c>
    </row>
    <row r="807" spans="1:17">
      <c r="A807" s="3">
        <v>4041671</v>
      </c>
      <c r="B807" s="3" t="s">
        <v>3760</v>
      </c>
      <c r="C807" s="3" t="str">
        <f>"9781119062516"</f>
        <v>9781119062516</v>
      </c>
      <c r="D807" s="3" t="str">
        <f>"9781444343786"</f>
        <v>9781444343786</v>
      </c>
      <c r="E807" s="3" t="s">
        <v>32</v>
      </c>
      <c r="F807" s="3" t="s">
        <v>33</v>
      </c>
      <c r="G807" s="4">
        <v>40819</v>
      </c>
      <c r="H807" s="3" t="s">
        <v>20</v>
      </c>
      <c r="I807" s="3">
        <v>1</v>
      </c>
      <c r="J807" s="3" t="s">
        <v>398</v>
      </c>
      <c r="K807" s="3" t="s">
        <v>3761</v>
      </c>
      <c r="L807" s="3" t="s">
        <v>22</v>
      </c>
      <c r="M807" s="3" t="s">
        <v>3762</v>
      </c>
      <c r="N807" s="3">
        <v>810.9</v>
      </c>
      <c r="O807" s="3"/>
      <c r="P807" s="3" t="s">
        <v>25</v>
      </c>
      <c r="Q807" s="3" t="s">
        <v>5422</v>
      </c>
    </row>
    <row r="808" spans="1:17">
      <c r="A808" s="3">
        <v>4041678</v>
      </c>
      <c r="B808" s="3" t="s">
        <v>3763</v>
      </c>
      <c r="C808" s="3" t="str">
        <f>"9781444336733"</f>
        <v>9781444336733</v>
      </c>
      <c r="D808" s="3" t="str">
        <f>"9781444344295"</f>
        <v>9781444344295</v>
      </c>
      <c r="E808" s="3" t="s">
        <v>32</v>
      </c>
      <c r="F808" s="3" t="s">
        <v>33</v>
      </c>
      <c r="G808" s="4">
        <v>40833</v>
      </c>
      <c r="H808" s="3" t="s">
        <v>20</v>
      </c>
      <c r="I808" s="3">
        <v>1</v>
      </c>
      <c r="J808" s="3" t="s">
        <v>398</v>
      </c>
      <c r="K808" s="3" t="s">
        <v>3764</v>
      </c>
      <c r="L808" s="3" t="s">
        <v>22</v>
      </c>
      <c r="M808" s="3" t="s">
        <v>3765</v>
      </c>
      <c r="N808" s="3">
        <v>809.1</v>
      </c>
      <c r="O808" s="3" t="s">
        <v>3766</v>
      </c>
      <c r="P808" s="3" t="s">
        <v>25</v>
      </c>
      <c r="Q808" s="3" t="s">
        <v>5423</v>
      </c>
    </row>
    <row r="809" spans="1:17">
      <c r="A809" s="3">
        <v>4041690</v>
      </c>
      <c r="B809" s="3" t="s">
        <v>3767</v>
      </c>
      <c r="C809" s="3" t="str">
        <f>"9781405163316"</f>
        <v>9781405163316</v>
      </c>
      <c r="D809" s="3" t="str">
        <f>"9781444345407"</f>
        <v>9781444345407</v>
      </c>
      <c r="E809" s="3" t="s">
        <v>32</v>
      </c>
      <c r="F809" s="3" t="s">
        <v>33</v>
      </c>
      <c r="G809" s="4">
        <v>40105</v>
      </c>
      <c r="H809" s="3" t="s">
        <v>20</v>
      </c>
      <c r="I809" s="3">
        <v>2</v>
      </c>
      <c r="J809" s="3" t="s">
        <v>186</v>
      </c>
      <c r="K809" s="3" t="s">
        <v>3768</v>
      </c>
      <c r="L809" s="3" t="s">
        <v>3769</v>
      </c>
      <c r="M809" s="3" t="s">
        <v>3770</v>
      </c>
      <c r="N809" s="3">
        <v>174.2</v>
      </c>
      <c r="O809" s="3"/>
      <c r="P809" s="3" t="s">
        <v>25</v>
      </c>
      <c r="Q809" s="3" t="s">
        <v>5424</v>
      </c>
    </row>
    <row r="810" spans="1:17">
      <c r="A810" s="3">
        <v>4041801</v>
      </c>
      <c r="B810" s="3" t="s">
        <v>3771</v>
      </c>
      <c r="C810" s="3" t="str">
        <f>"9780470672389"</f>
        <v>9780470672389</v>
      </c>
      <c r="D810" s="3" t="str">
        <f>"9781444354904"</f>
        <v>9781444354904</v>
      </c>
      <c r="E810" s="3" t="s">
        <v>32</v>
      </c>
      <c r="F810" s="3" t="s">
        <v>33</v>
      </c>
      <c r="G810" s="4">
        <v>39825</v>
      </c>
      <c r="H810" s="3" t="s">
        <v>20</v>
      </c>
      <c r="I810" s="3">
        <v>1</v>
      </c>
      <c r="J810" s="3" t="s">
        <v>398</v>
      </c>
      <c r="K810" s="3" t="s">
        <v>3772</v>
      </c>
      <c r="L810" s="3" t="s">
        <v>22</v>
      </c>
      <c r="M810" s="3" t="s">
        <v>3773</v>
      </c>
      <c r="N810" s="3">
        <v>823.7</v>
      </c>
      <c r="O810" s="3" t="s">
        <v>3774</v>
      </c>
      <c r="P810" s="3" t="s">
        <v>25</v>
      </c>
      <c r="Q810" s="3" t="s">
        <v>5425</v>
      </c>
    </row>
    <row r="811" spans="1:17">
      <c r="A811" s="3">
        <v>4041927</v>
      </c>
      <c r="B811" s="3" t="s">
        <v>3775</v>
      </c>
      <c r="C811" s="3" t="str">
        <f>"9781119111627"</f>
        <v>9781119111627</v>
      </c>
      <c r="D811" s="3" t="str">
        <f>"9781444362169"</f>
        <v>9781444362169</v>
      </c>
      <c r="E811" s="3" t="s">
        <v>32</v>
      </c>
      <c r="F811" s="3" t="s">
        <v>33</v>
      </c>
      <c r="G811" s="4">
        <v>41036</v>
      </c>
      <c r="H811" s="3" t="s">
        <v>20</v>
      </c>
      <c r="I811" s="3">
        <v>1</v>
      </c>
      <c r="J811" s="3" t="s">
        <v>860</v>
      </c>
      <c r="K811" s="3" t="s">
        <v>3776</v>
      </c>
      <c r="L811" s="3" t="s">
        <v>64</v>
      </c>
      <c r="M811" s="3" t="s">
        <v>3777</v>
      </c>
      <c r="N811" s="3">
        <v>301.09399999999999</v>
      </c>
      <c r="O811" s="3"/>
      <c r="P811" s="3" t="s">
        <v>25</v>
      </c>
      <c r="Q811" s="3" t="s">
        <v>5426</v>
      </c>
    </row>
    <row r="812" spans="1:17">
      <c r="A812" s="3">
        <v>4041948</v>
      </c>
      <c r="B812" s="3" t="s">
        <v>3778</v>
      </c>
      <c r="C812" s="3" t="str">
        <f>"9781405187671"</f>
        <v>9781405187671</v>
      </c>
      <c r="D812" s="3" t="str">
        <f>"9781444390759"</f>
        <v>9781444390759</v>
      </c>
      <c r="E812" s="3" t="s">
        <v>32</v>
      </c>
      <c r="F812" s="3" t="s">
        <v>33</v>
      </c>
      <c r="G812" s="4">
        <v>40561</v>
      </c>
      <c r="H812" s="3" t="s">
        <v>20</v>
      </c>
      <c r="I812" s="3">
        <v>1</v>
      </c>
      <c r="J812" s="3" t="s">
        <v>111</v>
      </c>
      <c r="K812" s="3" t="s">
        <v>3779</v>
      </c>
      <c r="L812" s="3" t="s">
        <v>64</v>
      </c>
      <c r="M812" s="3" t="s">
        <v>3780</v>
      </c>
      <c r="N812" s="3">
        <v>306.85093799999999</v>
      </c>
      <c r="O812" s="3" t="s">
        <v>3781</v>
      </c>
      <c r="P812" s="3" t="s">
        <v>25</v>
      </c>
      <c r="Q812" s="3" t="s">
        <v>5427</v>
      </c>
    </row>
    <row r="813" spans="1:17">
      <c r="A813" s="3">
        <v>4041973</v>
      </c>
      <c r="B813" s="3" t="s">
        <v>3782</v>
      </c>
      <c r="C813" s="3" t="str">
        <f>"9781405192309"</f>
        <v>9781405192309</v>
      </c>
      <c r="D813" s="3" t="str">
        <f>"9781444392463"</f>
        <v>9781444392463</v>
      </c>
      <c r="E813" s="3" t="s">
        <v>32</v>
      </c>
      <c r="F813" s="3" t="s">
        <v>33</v>
      </c>
      <c r="G813" s="4">
        <v>40595</v>
      </c>
      <c r="H813" s="3" t="s">
        <v>20</v>
      </c>
      <c r="I813" s="3">
        <v>1</v>
      </c>
      <c r="J813" s="3"/>
      <c r="K813" s="3" t="s">
        <v>3783</v>
      </c>
      <c r="L813" s="3" t="s">
        <v>22</v>
      </c>
      <c r="M813" s="3" t="s">
        <v>3784</v>
      </c>
      <c r="N813" s="3">
        <v>810.9</v>
      </c>
      <c r="O813" s="3" t="s">
        <v>3785</v>
      </c>
      <c r="P813" s="3" t="s">
        <v>25</v>
      </c>
      <c r="Q813" s="3" t="s">
        <v>5428</v>
      </c>
    </row>
    <row r="814" spans="1:17">
      <c r="A814" s="3">
        <v>4042007</v>
      </c>
      <c r="B814" s="3" t="s">
        <v>3786</v>
      </c>
      <c r="C814" s="3" t="str">
        <f>"9781118863213"</f>
        <v>9781118863213</v>
      </c>
      <c r="D814" s="3" t="str">
        <f>"9781444395297"</f>
        <v>9781444395297</v>
      </c>
      <c r="E814" s="3" t="s">
        <v>32</v>
      </c>
      <c r="F814" s="3" t="s">
        <v>33</v>
      </c>
      <c r="G814" s="4">
        <v>40665</v>
      </c>
      <c r="H814" s="3" t="s">
        <v>20</v>
      </c>
      <c r="I814" s="3">
        <v>1</v>
      </c>
      <c r="J814" s="3" t="s">
        <v>860</v>
      </c>
      <c r="K814" s="3" t="s">
        <v>3787</v>
      </c>
      <c r="L814" s="3" t="s">
        <v>64</v>
      </c>
      <c r="M814" s="3" t="s">
        <v>3788</v>
      </c>
      <c r="N814" s="3" t="s">
        <v>3789</v>
      </c>
      <c r="O814" s="3"/>
      <c r="P814" s="3" t="s">
        <v>25</v>
      </c>
      <c r="Q814" s="3" t="s">
        <v>5429</v>
      </c>
    </row>
    <row r="815" spans="1:17">
      <c r="A815" s="3">
        <v>4042018</v>
      </c>
      <c r="B815" s="3" t="s">
        <v>3790</v>
      </c>
      <c r="C815" s="3" t="str">
        <f>"9781405196321"</f>
        <v>9781405196321</v>
      </c>
      <c r="D815" s="3" t="str">
        <f>"9781444395921"</f>
        <v>9781444395921</v>
      </c>
      <c r="E815" s="3" t="s">
        <v>32</v>
      </c>
      <c r="F815" s="3" t="s">
        <v>33</v>
      </c>
      <c r="G815" s="4">
        <v>40665</v>
      </c>
      <c r="H815" s="3" t="s">
        <v>20</v>
      </c>
      <c r="I815" s="3">
        <v>1</v>
      </c>
      <c r="J815" s="3" t="s">
        <v>3791</v>
      </c>
      <c r="K815" s="3" t="s">
        <v>3792</v>
      </c>
      <c r="L815" s="3" t="s">
        <v>182</v>
      </c>
      <c r="M815" s="3" t="s">
        <v>3793</v>
      </c>
      <c r="N815" s="3" t="s">
        <v>3794</v>
      </c>
      <c r="O815" s="3" t="s">
        <v>3795</v>
      </c>
      <c r="P815" s="3" t="s">
        <v>25</v>
      </c>
      <c r="Q815" s="3" t="s">
        <v>5430</v>
      </c>
    </row>
    <row r="816" spans="1:17">
      <c r="A816" s="3">
        <v>4042039</v>
      </c>
      <c r="B816" s="3" t="s">
        <v>3796</v>
      </c>
      <c r="C816" s="3" t="str">
        <f>"9781119111665"</f>
        <v>9781119111665</v>
      </c>
      <c r="D816" s="3" t="str">
        <f>"9781444396706"</f>
        <v>9781444396706</v>
      </c>
      <c r="E816" s="3" t="s">
        <v>32</v>
      </c>
      <c r="F816" s="3" t="s">
        <v>33</v>
      </c>
      <c r="G816" s="4">
        <v>40669</v>
      </c>
      <c r="H816" s="3" t="s">
        <v>20</v>
      </c>
      <c r="I816" s="3">
        <v>1</v>
      </c>
      <c r="J816" s="3" t="s">
        <v>860</v>
      </c>
      <c r="K816" s="3" t="s">
        <v>3797</v>
      </c>
      <c r="L816" s="3" t="s">
        <v>3798</v>
      </c>
      <c r="M816" s="3" t="s">
        <v>3799</v>
      </c>
      <c r="N816" s="3">
        <v>306.43</v>
      </c>
      <c r="O816" s="3"/>
      <c r="P816" s="3" t="s">
        <v>25</v>
      </c>
      <c r="Q816" s="3" t="s">
        <v>5431</v>
      </c>
    </row>
    <row r="817" spans="1:17">
      <c r="A817" s="3">
        <v>4042041</v>
      </c>
      <c r="B817" s="3" t="s">
        <v>3800</v>
      </c>
      <c r="C817" s="3" t="str">
        <f>"9781405111782"</f>
        <v>9781405111782</v>
      </c>
      <c r="D817" s="3" t="str">
        <f>"9781444396935"</f>
        <v>9781444396935</v>
      </c>
      <c r="E817" s="3" t="s">
        <v>32</v>
      </c>
      <c r="F817" s="3" t="s">
        <v>33</v>
      </c>
      <c r="G817" s="4">
        <v>40669</v>
      </c>
      <c r="H817" s="3" t="s">
        <v>20</v>
      </c>
      <c r="I817" s="3">
        <v>1</v>
      </c>
      <c r="J817" s="3" t="s">
        <v>111</v>
      </c>
      <c r="K817" s="3" t="s">
        <v>3801</v>
      </c>
      <c r="L817" s="3" t="s">
        <v>807</v>
      </c>
      <c r="M817" s="3" t="s">
        <v>3802</v>
      </c>
      <c r="N817" s="3">
        <v>398.20938000000001</v>
      </c>
      <c r="O817" s="3" t="s">
        <v>3803</v>
      </c>
      <c r="P817" s="3" t="s">
        <v>25</v>
      </c>
      <c r="Q817" s="3" t="s">
        <v>5432</v>
      </c>
    </row>
    <row r="818" spans="1:17">
      <c r="A818" s="3">
        <v>4042046</v>
      </c>
      <c r="B818" s="3" t="s">
        <v>3804</v>
      </c>
      <c r="C818" s="3" t="str">
        <f>"9781405155762"</f>
        <v>9781405155762</v>
      </c>
      <c r="D818" s="3" t="str">
        <f>"9781444397543"</f>
        <v>9781444397543</v>
      </c>
      <c r="E818" s="3" t="s">
        <v>32</v>
      </c>
      <c r="F818" s="3" t="s">
        <v>33</v>
      </c>
      <c r="G818" s="4">
        <v>40742</v>
      </c>
      <c r="H818" s="3" t="s">
        <v>20</v>
      </c>
      <c r="I818" s="3">
        <v>1</v>
      </c>
      <c r="J818" s="3" t="s">
        <v>3791</v>
      </c>
      <c r="K818" s="3" t="s">
        <v>3805</v>
      </c>
      <c r="L818" s="3" t="s">
        <v>182</v>
      </c>
      <c r="M818" s="3" t="s">
        <v>3806</v>
      </c>
      <c r="N818" s="3" t="s">
        <v>3807</v>
      </c>
      <c r="O818" s="3" t="s">
        <v>3808</v>
      </c>
      <c r="P818" s="3" t="s">
        <v>25</v>
      </c>
      <c r="Q818" s="3" t="s">
        <v>5433</v>
      </c>
    </row>
    <row r="819" spans="1:17">
      <c r="A819" s="3">
        <v>4043738</v>
      </c>
      <c r="B819" s="3" t="s">
        <v>3809</v>
      </c>
      <c r="C819" s="3" t="str">
        <f>"9781118724095"</f>
        <v>9781118724095</v>
      </c>
      <c r="D819" s="3" t="str">
        <f>"9781444345728"</f>
        <v>9781444345728</v>
      </c>
      <c r="E819" s="3" t="s">
        <v>32</v>
      </c>
      <c r="F819" s="3" t="s">
        <v>33</v>
      </c>
      <c r="G819" s="4">
        <v>40904</v>
      </c>
      <c r="H819" s="3" t="s">
        <v>20</v>
      </c>
      <c r="I819" s="3">
        <v>1</v>
      </c>
      <c r="J819" s="3" t="s">
        <v>718</v>
      </c>
      <c r="K819" s="3" t="s">
        <v>3810</v>
      </c>
      <c r="L819" s="3" t="s">
        <v>118</v>
      </c>
      <c r="M819" s="3" t="s">
        <v>3811</v>
      </c>
      <c r="N819" s="3">
        <v>230.01</v>
      </c>
      <c r="O819" s="3"/>
      <c r="P819" s="3" t="s">
        <v>25</v>
      </c>
      <c r="Q819" s="3" t="s">
        <v>5434</v>
      </c>
    </row>
    <row r="820" spans="1:17">
      <c r="A820" s="3">
        <v>4043934</v>
      </c>
      <c r="B820" s="3" t="s">
        <v>3812</v>
      </c>
      <c r="C820" s="3" t="str">
        <f>"9781405190312"</f>
        <v>9781405190312</v>
      </c>
      <c r="D820" s="3" t="str">
        <f>"9781444361971"</f>
        <v>9781444361971</v>
      </c>
      <c r="E820" s="3" t="s">
        <v>32</v>
      </c>
      <c r="F820" s="3" t="s">
        <v>33</v>
      </c>
      <c r="G820" s="4">
        <v>41036</v>
      </c>
      <c r="H820" s="3" t="s">
        <v>20</v>
      </c>
      <c r="I820" s="3">
        <v>1</v>
      </c>
      <c r="J820" s="3" t="s">
        <v>718</v>
      </c>
      <c r="K820" s="3" t="s">
        <v>3813</v>
      </c>
      <c r="L820" s="3" t="s">
        <v>118</v>
      </c>
      <c r="M820" s="3" t="s">
        <v>3814</v>
      </c>
      <c r="N820" s="3">
        <v>299.51</v>
      </c>
      <c r="O820" s="3" t="s">
        <v>3815</v>
      </c>
      <c r="P820" s="3" t="s">
        <v>25</v>
      </c>
      <c r="Q820" s="3" t="s">
        <v>5435</v>
      </c>
    </row>
    <row r="821" spans="1:17">
      <c r="A821" s="3">
        <v>4043944</v>
      </c>
      <c r="B821" s="3" t="s">
        <v>3816</v>
      </c>
      <c r="C821" s="3" t="str">
        <f>"9781405156691"</f>
        <v>9781405156691</v>
      </c>
      <c r="D821" s="3" t="str">
        <f>"9781444390087"</f>
        <v>9781444390087</v>
      </c>
      <c r="E821" s="3" t="s">
        <v>32</v>
      </c>
      <c r="F821" s="3" t="s">
        <v>33</v>
      </c>
      <c r="G821" s="4">
        <v>40574</v>
      </c>
      <c r="H821" s="3" t="s">
        <v>20</v>
      </c>
      <c r="I821" s="3">
        <v>1</v>
      </c>
      <c r="J821" s="3"/>
      <c r="K821" s="3" t="s">
        <v>3817</v>
      </c>
      <c r="L821" s="3" t="s">
        <v>22</v>
      </c>
      <c r="M821" s="3" t="s">
        <v>3818</v>
      </c>
      <c r="N821" s="3">
        <v>809.03300000000002</v>
      </c>
      <c r="O821" s="3" t="s">
        <v>3819</v>
      </c>
      <c r="P821" s="3" t="s">
        <v>25</v>
      </c>
      <c r="Q821" s="3" t="s">
        <v>5436</v>
      </c>
    </row>
    <row r="822" spans="1:17">
      <c r="A822" s="3">
        <v>4043963</v>
      </c>
      <c r="B822" s="3" t="s">
        <v>3820</v>
      </c>
      <c r="C822" s="3" t="str">
        <f>"9781405189224"</f>
        <v>9781405189224</v>
      </c>
      <c r="D822" s="3" t="str">
        <f>"9781444390728"</f>
        <v>9781444390728</v>
      </c>
      <c r="E822" s="3" t="s">
        <v>32</v>
      </c>
      <c r="F822" s="3" t="s">
        <v>33</v>
      </c>
      <c r="G822" s="4">
        <v>40602</v>
      </c>
      <c r="H822" s="3" t="s">
        <v>20</v>
      </c>
      <c r="I822" s="3">
        <v>1</v>
      </c>
      <c r="J822" s="3"/>
      <c r="K822" s="3" t="s">
        <v>3821</v>
      </c>
      <c r="L822" s="3" t="s">
        <v>58</v>
      </c>
      <c r="M822" s="3" t="s">
        <v>3822</v>
      </c>
      <c r="N822" s="3">
        <v>940.20299999999997</v>
      </c>
      <c r="O822" s="3" t="s">
        <v>3823</v>
      </c>
      <c r="P822" s="3" t="s">
        <v>25</v>
      </c>
      <c r="Q822" s="3" t="s">
        <v>5437</v>
      </c>
    </row>
    <row r="823" spans="1:17">
      <c r="A823" s="3">
        <v>4083313</v>
      </c>
      <c r="B823" s="3" t="s">
        <v>3824</v>
      </c>
      <c r="C823" s="3" t="str">
        <f>"9780198703853"</f>
        <v>9780198703853</v>
      </c>
      <c r="D823" s="3" t="str">
        <f>"9780191008856"</f>
        <v>9780191008856</v>
      </c>
      <c r="E823" s="3" t="s">
        <v>1656</v>
      </c>
      <c r="F823" s="3" t="s">
        <v>1656</v>
      </c>
      <c r="G823" s="4">
        <v>42332</v>
      </c>
      <c r="H823" s="3" t="s">
        <v>20</v>
      </c>
      <c r="I823" s="3">
        <v>2</v>
      </c>
      <c r="J823" s="3" t="s">
        <v>3825</v>
      </c>
      <c r="K823" s="3" t="s">
        <v>3826</v>
      </c>
      <c r="L823" s="3" t="s">
        <v>199</v>
      </c>
      <c r="M823" s="3" t="s">
        <v>3827</v>
      </c>
      <c r="N823" s="3" t="s">
        <v>3828</v>
      </c>
      <c r="O823" s="3" t="s">
        <v>3829</v>
      </c>
      <c r="P823" s="3" t="s">
        <v>25</v>
      </c>
      <c r="Q823" s="3" t="s">
        <v>5438</v>
      </c>
    </row>
    <row r="824" spans="1:17">
      <c r="A824" s="3">
        <v>4107585</v>
      </c>
      <c r="B824" s="3" t="s">
        <v>3830</v>
      </c>
      <c r="C824" s="3" t="str">
        <f>"9789004285118"</f>
        <v>9789004285118</v>
      </c>
      <c r="D824" s="3" t="str">
        <f>"9789004284715"</f>
        <v>9789004284715</v>
      </c>
      <c r="E824" s="3" t="s">
        <v>611</v>
      </c>
      <c r="F824" s="3" t="s">
        <v>611</v>
      </c>
      <c r="G824" s="4">
        <v>42342</v>
      </c>
      <c r="H824" s="3" t="s">
        <v>20</v>
      </c>
      <c r="I824" s="3">
        <v>1</v>
      </c>
      <c r="J824" s="3" t="s">
        <v>2128</v>
      </c>
      <c r="K824" s="3" t="s">
        <v>3831</v>
      </c>
      <c r="L824" s="3" t="s">
        <v>1157</v>
      </c>
      <c r="M824" s="3" t="s">
        <v>3832</v>
      </c>
      <c r="N824" s="3">
        <v>913</v>
      </c>
      <c r="O824" s="3" t="s">
        <v>3833</v>
      </c>
      <c r="P824" s="3" t="s">
        <v>25</v>
      </c>
      <c r="Q824" s="3" t="s">
        <v>5439</v>
      </c>
    </row>
    <row r="825" spans="1:17">
      <c r="A825" s="3">
        <v>4182139</v>
      </c>
      <c r="B825" s="3" t="s">
        <v>3834</v>
      </c>
      <c r="C825" s="3" t="str">
        <f>"9781119993155"</f>
        <v>9781119993155</v>
      </c>
      <c r="D825" s="3" t="str">
        <f>"9781118326497"</f>
        <v>9781118326497</v>
      </c>
      <c r="E825" s="3" t="s">
        <v>32</v>
      </c>
      <c r="F825" s="3" t="s">
        <v>33</v>
      </c>
      <c r="G825" s="4">
        <v>41260</v>
      </c>
      <c r="H825" s="3" t="s">
        <v>20</v>
      </c>
      <c r="I825" s="3">
        <v>1</v>
      </c>
      <c r="J825" s="3" t="s">
        <v>2195</v>
      </c>
      <c r="K825" s="3" t="s">
        <v>3835</v>
      </c>
      <c r="L825" s="3" t="s">
        <v>660</v>
      </c>
      <c r="M825" s="3" t="s">
        <v>3836</v>
      </c>
      <c r="N825" s="3">
        <v>158.30000000000001</v>
      </c>
      <c r="O825" s="3" t="s">
        <v>3837</v>
      </c>
      <c r="P825" s="3" t="s">
        <v>25</v>
      </c>
      <c r="Q825" s="3" t="s">
        <v>5440</v>
      </c>
    </row>
    <row r="826" spans="1:17">
      <c r="A826" s="3">
        <v>4307799</v>
      </c>
      <c r="B826" s="3" t="s">
        <v>3838</v>
      </c>
      <c r="C826" s="3" t="str">
        <f>"9780814437360"</f>
        <v>9780814437360</v>
      </c>
      <c r="D826" s="3" t="str">
        <f>"9780814437377"</f>
        <v>9780814437377</v>
      </c>
      <c r="E826" s="3" t="s">
        <v>3839</v>
      </c>
      <c r="F826" s="3" t="s">
        <v>3839</v>
      </c>
      <c r="G826" s="4">
        <v>42598</v>
      </c>
      <c r="H826" s="3" t="s">
        <v>20</v>
      </c>
      <c r="I826" s="3">
        <v>5</v>
      </c>
      <c r="J826" s="3"/>
      <c r="K826" s="3" t="s">
        <v>3840</v>
      </c>
      <c r="L826" s="3" t="s">
        <v>36</v>
      </c>
      <c r="M826" s="3"/>
      <c r="N826" s="3">
        <v>658.404</v>
      </c>
      <c r="O826" s="3"/>
      <c r="P826" s="3" t="s">
        <v>25</v>
      </c>
      <c r="Q826" s="3" t="s">
        <v>5441</v>
      </c>
    </row>
    <row r="827" spans="1:17">
      <c r="A827" s="3">
        <v>4315716</v>
      </c>
      <c r="B827" s="3" t="s">
        <v>3841</v>
      </c>
      <c r="C827" s="3" t="str">
        <f>"9780521001922"</f>
        <v>9780521001922</v>
      </c>
      <c r="D827" s="3" t="str">
        <f>"9780511202735"</f>
        <v>9780511202735</v>
      </c>
      <c r="E827" s="3" t="s">
        <v>41</v>
      </c>
      <c r="F827" s="3" t="s">
        <v>41</v>
      </c>
      <c r="G827" s="4">
        <v>37763</v>
      </c>
      <c r="H827" s="3" t="s">
        <v>20</v>
      </c>
      <c r="I827" s="3"/>
      <c r="J827" s="3" t="s">
        <v>3842</v>
      </c>
      <c r="K827" s="3" t="s">
        <v>3843</v>
      </c>
      <c r="L827" s="3" t="s">
        <v>43</v>
      </c>
      <c r="M827" s="3" t="s">
        <v>3844</v>
      </c>
      <c r="N827" s="3">
        <v>780.92</v>
      </c>
      <c r="O827" s="3" t="s">
        <v>3845</v>
      </c>
      <c r="P827" s="3" t="s">
        <v>25</v>
      </c>
      <c r="Q827" s="3" t="s">
        <v>5442</v>
      </c>
    </row>
    <row r="828" spans="1:17">
      <c r="A828" s="3">
        <v>4315777</v>
      </c>
      <c r="B828" s="3" t="s">
        <v>3846</v>
      </c>
      <c r="C828" s="3" t="str">
        <f>"9780521654784"</f>
        <v>9780521654784</v>
      </c>
      <c r="D828" s="3" t="str">
        <f>"9780511203350"</f>
        <v>9780511203350</v>
      </c>
      <c r="E828" s="3" t="s">
        <v>41</v>
      </c>
      <c r="F828" s="3" t="s">
        <v>41</v>
      </c>
      <c r="G828" s="4">
        <v>37791</v>
      </c>
      <c r="H828" s="3" t="s">
        <v>20</v>
      </c>
      <c r="I828" s="3"/>
      <c r="J828" s="3" t="s">
        <v>3842</v>
      </c>
      <c r="K828" s="3" t="s">
        <v>3847</v>
      </c>
      <c r="L828" s="3" t="s">
        <v>43</v>
      </c>
      <c r="M828" s="3" t="s">
        <v>3848</v>
      </c>
      <c r="N828" s="3" t="s">
        <v>70</v>
      </c>
      <c r="O828" s="3" t="s">
        <v>3849</v>
      </c>
      <c r="P828" s="3" t="s">
        <v>25</v>
      </c>
      <c r="Q828" s="3" t="s">
        <v>5443</v>
      </c>
    </row>
    <row r="829" spans="1:17">
      <c r="A829" s="3">
        <v>4316057</v>
      </c>
      <c r="B829" s="3" t="s">
        <v>3850</v>
      </c>
      <c r="C829" s="3" t="str">
        <f>"9780521663779"</f>
        <v>9780521663779</v>
      </c>
      <c r="D829" s="3" t="str">
        <f>"9780511206252"</f>
        <v>9780511206252</v>
      </c>
      <c r="E829" s="3" t="s">
        <v>41</v>
      </c>
      <c r="F829" s="3" t="s">
        <v>41</v>
      </c>
      <c r="G829" s="4">
        <v>37826</v>
      </c>
      <c r="H829" s="3" t="s">
        <v>20</v>
      </c>
      <c r="I829" s="3"/>
      <c r="J829" s="3" t="s">
        <v>3842</v>
      </c>
      <c r="K829" s="3" t="s">
        <v>3851</v>
      </c>
      <c r="L829" s="3" t="s">
        <v>43</v>
      </c>
      <c r="M829" s="3" t="s">
        <v>3852</v>
      </c>
      <c r="N829" s="3" t="s">
        <v>3853</v>
      </c>
      <c r="O829" s="3" t="s">
        <v>3854</v>
      </c>
      <c r="P829" s="3" t="s">
        <v>25</v>
      </c>
      <c r="Q829" s="3" t="s">
        <v>5444</v>
      </c>
    </row>
    <row r="830" spans="1:17">
      <c r="A830" s="3">
        <v>4316766</v>
      </c>
      <c r="B830" s="3" t="s">
        <v>3855</v>
      </c>
      <c r="C830" s="3" t="str">
        <f>"9780521635356"</f>
        <v>9780521635356</v>
      </c>
      <c r="D830" s="3" t="str">
        <f>"9780511263583"</f>
        <v>9780511263583</v>
      </c>
      <c r="E830" s="3" t="s">
        <v>41</v>
      </c>
      <c r="F830" s="3" t="s">
        <v>41</v>
      </c>
      <c r="G830" s="4">
        <v>38309</v>
      </c>
      <c r="H830" s="3" t="s">
        <v>20</v>
      </c>
      <c r="I830" s="3"/>
      <c r="J830" s="3" t="s">
        <v>3842</v>
      </c>
      <c r="K830" s="3" t="s">
        <v>3856</v>
      </c>
      <c r="L830" s="3" t="s">
        <v>43</v>
      </c>
      <c r="M830" s="3" t="s">
        <v>3857</v>
      </c>
      <c r="N830" s="3">
        <v>782.10919999999999</v>
      </c>
      <c r="O830" s="3" t="s">
        <v>3858</v>
      </c>
      <c r="P830" s="3" t="s">
        <v>25</v>
      </c>
      <c r="Q830" s="3" t="s">
        <v>5445</v>
      </c>
    </row>
    <row r="831" spans="1:17">
      <c r="A831" s="3">
        <v>4332453</v>
      </c>
      <c r="B831" s="3" t="s">
        <v>365</v>
      </c>
      <c r="C831" s="3" t="str">
        <f>"9781118269947"</f>
        <v>9781118269947</v>
      </c>
      <c r="D831" s="3" t="str">
        <f>"9780470447482"</f>
        <v>9780470447482</v>
      </c>
      <c r="E831" s="3" t="s">
        <v>3859</v>
      </c>
      <c r="F831" s="3" t="s">
        <v>3859</v>
      </c>
      <c r="G831" s="4">
        <v>39785</v>
      </c>
      <c r="H831" s="3" t="s">
        <v>20</v>
      </c>
      <c r="I831" s="3">
        <v>1</v>
      </c>
      <c r="J831" s="3"/>
      <c r="K831" s="3" t="s">
        <v>366</v>
      </c>
      <c r="L831" s="3" t="s">
        <v>199</v>
      </c>
      <c r="M831" s="3" t="s">
        <v>3860</v>
      </c>
      <c r="N831" s="3">
        <v>616.85210029999996</v>
      </c>
      <c r="O831" s="3" t="s">
        <v>3861</v>
      </c>
      <c r="P831" s="3" t="s">
        <v>25</v>
      </c>
      <c r="Q831" s="3" t="s">
        <v>5446</v>
      </c>
    </row>
    <row r="832" spans="1:17">
      <c r="A832" s="3">
        <v>4352979</v>
      </c>
      <c r="B832" s="3" t="s">
        <v>3862</v>
      </c>
      <c r="C832" s="3" t="str">
        <f>"9781555879075"</f>
        <v>9781555879075</v>
      </c>
      <c r="D832" s="3" t="str">
        <f>"9781626373532"</f>
        <v>9781626373532</v>
      </c>
      <c r="E832" s="3" t="s">
        <v>3397</v>
      </c>
      <c r="F832" s="3" t="s">
        <v>3397</v>
      </c>
      <c r="G832" s="4">
        <v>36708</v>
      </c>
      <c r="H832" s="3" t="s">
        <v>20</v>
      </c>
      <c r="I832" s="3">
        <v>1</v>
      </c>
      <c r="J832" s="3"/>
      <c r="K832" s="3" t="s">
        <v>3863</v>
      </c>
      <c r="L832" s="3" t="s">
        <v>58</v>
      </c>
      <c r="M832" s="3" t="s">
        <v>3864</v>
      </c>
      <c r="N832" s="3">
        <v>973.09900000000005</v>
      </c>
      <c r="O832" s="3" t="s">
        <v>3865</v>
      </c>
      <c r="P832" s="3" t="s">
        <v>25</v>
      </c>
      <c r="Q832" s="3" t="s">
        <v>5447</v>
      </c>
    </row>
    <row r="833" spans="1:17">
      <c r="A833" s="3">
        <v>4388625</v>
      </c>
      <c r="B833" s="3" t="s">
        <v>3866</v>
      </c>
      <c r="C833" s="3" t="str">
        <f>"9780786498697"</f>
        <v>9780786498697</v>
      </c>
      <c r="D833" s="3" t="str">
        <f>"9781476620008"</f>
        <v>9781476620008</v>
      </c>
      <c r="E833" s="3" t="s">
        <v>828</v>
      </c>
      <c r="F833" s="3" t="s">
        <v>828</v>
      </c>
      <c r="G833" s="4">
        <v>42352</v>
      </c>
      <c r="H833" s="3" t="s">
        <v>20</v>
      </c>
      <c r="I833" s="3">
        <v>1</v>
      </c>
      <c r="J833" s="3"/>
      <c r="K833" s="3" t="s">
        <v>3196</v>
      </c>
      <c r="L833" s="3" t="s">
        <v>64</v>
      </c>
      <c r="M833" s="3" t="s">
        <v>3867</v>
      </c>
      <c r="N833" s="3" t="s">
        <v>3868</v>
      </c>
      <c r="O833" s="3" t="s">
        <v>3869</v>
      </c>
      <c r="P833" s="3" t="s">
        <v>25</v>
      </c>
      <c r="Q833" s="3" t="s">
        <v>5448</v>
      </c>
    </row>
    <row r="834" spans="1:17">
      <c r="A834" s="3">
        <v>4390699</v>
      </c>
      <c r="B834" s="3" t="s">
        <v>3870</v>
      </c>
      <c r="C834" s="3" t="str">
        <f>"9780786445134"</f>
        <v>9780786445134</v>
      </c>
      <c r="D834" s="3" t="str">
        <f>"9781476605289"</f>
        <v>9781476605289</v>
      </c>
      <c r="E834" s="3" t="s">
        <v>828</v>
      </c>
      <c r="F834" s="3" t="s">
        <v>828</v>
      </c>
      <c r="G834" s="4">
        <v>40140</v>
      </c>
      <c r="H834" s="3" t="s">
        <v>20</v>
      </c>
      <c r="I834" s="3">
        <v>1</v>
      </c>
      <c r="J834" s="3"/>
      <c r="K834" s="3" t="s">
        <v>1492</v>
      </c>
      <c r="L834" s="3" t="s">
        <v>3871</v>
      </c>
      <c r="M834" s="3" t="s">
        <v>3872</v>
      </c>
      <c r="N834" s="3">
        <v>16.7914475</v>
      </c>
      <c r="O834" s="3" t="s">
        <v>3873</v>
      </c>
      <c r="P834" s="3" t="s">
        <v>25</v>
      </c>
      <c r="Q834" s="3" t="s">
        <v>5449</v>
      </c>
    </row>
    <row r="835" spans="1:17">
      <c r="A835" s="3">
        <v>4390722</v>
      </c>
      <c r="B835" s="3" t="s">
        <v>3874</v>
      </c>
      <c r="C835" s="3" t="str">
        <f>"9780786423293"</f>
        <v>9780786423293</v>
      </c>
      <c r="D835" s="3" t="str">
        <f>"9781476608747"</f>
        <v>9781476608747</v>
      </c>
      <c r="E835" s="3" t="s">
        <v>828</v>
      </c>
      <c r="F835" s="3" t="s">
        <v>828</v>
      </c>
      <c r="G835" s="4">
        <v>38749</v>
      </c>
      <c r="H835" s="3" t="s">
        <v>20</v>
      </c>
      <c r="I835" s="3">
        <v>1</v>
      </c>
      <c r="J835" s="3"/>
      <c r="K835" s="3" t="s">
        <v>3875</v>
      </c>
      <c r="L835" s="3" t="s">
        <v>43</v>
      </c>
      <c r="M835" s="3" t="s">
        <v>3876</v>
      </c>
      <c r="N835" s="3" t="s">
        <v>1494</v>
      </c>
      <c r="O835" s="3" t="s">
        <v>3877</v>
      </c>
      <c r="P835" s="3" t="s">
        <v>25</v>
      </c>
      <c r="Q835" s="3" t="s">
        <v>5450</v>
      </c>
    </row>
    <row r="836" spans="1:17">
      <c r="A836" s="3">
        <v>4390734</v>
      </c>
      <c r="B836" s="3" t="s">
        <v>3878</v>
      </c>
      <c r="C836" s="3" t="str">
        <f>"9780786437542"</f>
        <v>9780786437542</v>
      </c>
      <c r="D836" s="3" t="str">
        <f>"9781476609911"</f>
        <v>9781476609911</v>
      </c>
      <c r="E836" s="3" t="s">
        <v>828</v>
      </c>
      <c r="F836" s="3" t="s">
        <v>828</v>
      </c>
      <c r="G836" s="4">
        <v>39675</v>
      </c>
      <c r="H836" s="3" t="s">
        <v>20</v>
      </c>
      <c r="I836" s="3">
        <v>1</v>
      </c>
      <c r="J836" s="3"/>
      <c r="K836" s="3" t="s">
        <v>3879</v>
      </c>
      <c r="L836" s="3" t="s">
        <v>2637</v>
      </c>
      <c r="M836" s="3" t="s">
        <v>3880</v>
      </c>
      <c r="N836" s="3" t="s">
        <v>3881</v>
      </c>
      <c r="O836" s="3" t="s">
        <v>3882</v>
      </c>
      <c r="P836" s="3" t="s">
        <v>25</v>
      </c>
      <c r="Q836" s="3" t="s">
        <v>5451</v>
      </c>
    </row>
    <row r="837" spans="1:17">
      <c r="A837" s="3">
        <v>4390786</v>
      </c>
      <c r="B837" s="3" t="s">
        <v>3883</v>
      </c>
      <c r="C837" s="3" t="str">
        <f>"9780786412709"</f>
        <v>9780786412709</v>
      </c>
      <c r="D837" s="3" t="str">
        <f>"9781476613420"</f>
        <v>9781476613420</v>
      </c>
      <c r="E837" s="3" t="s">
        <v>828</v>
      </c>
      <c r="F837" s="3" t="s">
        <v>828</v>
      </c>
      <c r="G837" s="4">
        <v>37407</v>
      </c>
      <c r="H837" s="3" t="s">
        <v>20</v>
      </c>
      <c r="I837" s="3">
        <v>1</v>
      </c>
      <c r="J837" s="3"/>
      <c r="K837" s="3" t="s">
        <v>3884</v>
      </c>
      <c r="L837" s="3" t="s">
        <v>43</v>
      </c>
      <c r="M837" s="3" t="s">
        <v>3885</v>
      </c>
      <c r="N837" s="3" t="s">
        <v>3886</v>
      </c>
      <c r="O837" s="3" t="s">
        <v>3887</v>
      </c>
      <c r="P837" s="3" t="s">
        <v>25</v>
      </c>
      <c r="Q837" s="3" t="s">
        <v>5452</v>
      </c>
    </row>
    <row r="838" spans="1:17">
      <c r="A838" s="3">
        <v>4390880</v>
      </c>
      <c r="B838" s="3" t="s">
        <v>3888</v>
      </c>
      <c r="C838" s="3" t="str">
        <f>"9780786412686"</f>
        <v>9780786412686</v>
      </c>
      <c r="D838" s="3" t="str">
        <f>"9781476600222"</f>
        <v>9781476600222</v>
      </c>
      <c r="E838" s="3" t="s">
        <v>828</v>
      </c>
      <c r="F838" s="3" t="s">
        <v>828</v>
      </c>
      <c r="G838" s="4">
        <v>37407</v>
      </c>
      <c r="H838" s="3" t="s">
        <v>20</v>
      </c>
      <c r="I838" s="3">
        <v>1</v>
      </c>
      <c r="J838" s="3"/>
      <c r="K838" s="3" t="s">
        <v>3889</v>
      </c>
      <c r="L838" s="3" t="s">
        <v>22</v>
      </c>
      <c r="M838" s="3" t="s">
        <v>3890</v>
      </c>
      <c r="N838" s="3" t="s">
        <v>3891</v>
      </c>
      <c r="O838" s="3" t="s">
        <v>3892</v>
      </c>
      <c r="P838" s="3" t="s">
        <v>25</v>
      </c>
      <c r="Q838" s="3" t="s">
        <v>5453</v>
      </c>
    </row>
    <row r="839" spans="1:17">
      <c r="A839" s="3">
        <v>4390883</v>
      </c>
      <c r="B839" s="3" t="s">
        <v>3893</v>
      </c>
      <c r="C839" s="3" t="str">
        <f>"9780786438761"</f>
        <v>9780786438761</v>
      </c>
      <c r="D839" s="3" t="str">
        <f>"9781476621548"</f>
        <v>9781476621548</v>
      </c>
      <c r="E839" s="3" t="s">
        <v>828</v>
      </c>
      <c r="F839" s="3" t="s">
        <v>828</v>
      </c>
      <c r="G839" s="4">
        <v>39688</v>
      </c>
      <c r="H839" s="3" t="s">
        <v>20</v>
      </c>
      <c r="I839" s="3">
        <v>1</v>
      </c>
      <c r="J839" s="3"/>
      <c r="K839" s="3" t="s">
        <v>3894</v>
      </c>
      <c r="L839" s="3" t="s">
        <v>58</v>
      </c>
      <c r="M839" s="3" t="s">
        <v>3895</v>
      </c>
      <c r="N839" s="3" t="s">
        <v>3896</v>
      </c>
      <c r="O839" s="3" t="s">
        <v>3897</v>
      </c>
      <c r="P839" s="3" t="s">
        <v>25</v>
      </c>
      <c r="Q839" s="3" t="s">
        <v>5454</v>
      </c>
    </row>
    <row r="840" spans="1:17">
      <c r="A840" s="3">
        <v>4390920</v>
      </c>
      <c r="B840" s="3" t="s">
        <v>3898</v>
      </c>
      <c r="C840" s="3" t="str">
        <f>"9780786499014"</f>
        <v>9780786499014</v>
      </c>
      <c r="D840" s="3" t="str">
        <f>"9781476622705"</f>
        <v>9781476622705</v>
      </c>
      <c r="E840" s="3" t="s">
        <v>828</v>
      </c>
      <c r="F840" s="3" t="s">
        <v>828</v>
      </c>
      <c r="G840" s="4">
        <v>42265</v>
      </c>
      <c r="H840" s="3" t="s">
        <v>20</v>
      </c>
      <c r="I840" s="3">
        <v>1</v>
      </c>
      <c r="J840" s="3"/>
      <c r="K840" s="3" t="s">
        <v>3899</v>
      </c>
      <c r="L840" s="3" t="s">
        <v>406</v>
      </c>
      <c r="M840" s="3" t="s">
        <v>3900</v>
      </c>
      <c r="N840" s="3" t="s">
        <v>1770</v>
      </c>
      <c r="O840" s="3" t="s">
        <v>3901</v>
      </c>
      <c r="P840" s="3" t="s">
        <v>25</v>
      </c>
      <c r="Q840" s="3" t="s">
        <v>5455</v>
      </c>
    </row>
    <row r="841" spans="1:17">
      <c r="A841" s="3">
        <v>4392768</v>
      </c>
      <c r="B841" s="3" t="s">
        <v>3902</v>
      </c>
      <c r="C841" s="3" t="str">
        <f>"9780801484575"</f>
        <v>9780801484575</v>
      </c>
      <c r="D841" s="3" t="str">
        <f>"9780801454455"</f>
        <v>9780801454455</v>
      </c>
      <c r="E841" s="3" t="s">
        <v>3311</v>
      </c>
      <c r="F841" s="3" t="s">
        <v>3311</v>
      </c>
      <c r="G841" s="4">
        <v>42444</v>
      </c>
      <c r="H841" s="3" t="s">
        <v>20</v>
      </c>
      <c r="I841" s="3">
        <v>1</v>
      </c>
      <c r="J841" s="3"/>
      <c r="K841" s="3" t="s">
        <v>3903</v>
      </c>
      <c r="L841" s="3" t="s">
        <v>219</v>
      </c>
      <c r="M841" s="3" t="s">
        <v>3904</v>
      </c>
      <c r="N841" s="3">
        <v>320</v>
      </c>
      <c r="O841" s="3" t="s">
        <v>3905</v>
      </c>
      <c r="P841" s="3" t="s">
        <v>25</v>
      </c>
      <c r="Q841" s="3" t="s">
        <v>5456</v>
      </c>
    </row>
    <row r="842" spans="1:17">
      <c r="A842" s="3">
        <v>4396375</v>
      </c>
      <c r="B842" s="3" t="s">
        <v>3906</v>
      </c>
      <c r="C842" s="3" t="str">
        <f>"9781597562003"</f>
        <v>9781597562003</v>
      </c>
      <c r="D842" s="3" t="str">
        <f>"9781597568807"</f>
        <v>9781597568807</v>
      </c>
      <c r="E842" s="3" t="s">
        <v>2914</v>
      </c>
      <c r="F842" s="3" t="s">
        <v>2914</v>
      </c>
      <c r="G842" s="4">
        <v>39356</v>
      </c>
      <c r="H842" s="3" t="s">
        <v>20</v>
      </c>
      <c r="I842" s="3">
        <v>1</v>
      </c>
      <c r="J842" s="3"/>
      <c r="K842" s="3" t="s">
        <v>2914</v>
      </c>
      <c r="L842" s="3" t="s">
        <v>204</v>
      </c>
      <c r="M842" s="3" t="s">
        <v>3907</v>
      </c>
      <c r="N842" s="3">
        <v>610.72</v>
      </c>
      <c r="O842" s="3" t="s">
        <v>3908</v>
      </c>
      <c r="P842" s="3" t="s">
        <v>25</v>
      </c>
      <c r="Q842" s="3" t="s">
        <v>5457</v>
      </c>
    </row>
    <row r="843" spans="1:17">
      <c r="A843" s="3">
        <v>4397555</v>
      </c>
      <c r="B843" s="3" t="s">
        <v>3909</v>
      </c>
      <c r="C843" s="3" t="str">
        <f>"9789004217331"</f>
        <v>9789004217331</v>
      </c>
      <c r="D843" s="3" t="str">
        <f>"9789004297357"</f>
        <v>9789004297357</v>
      </c>
      <c r="E843" s="3" t="s">
        <v>611</v>
      </c>
      <c r="F843" s="3" t="s">
        <v>611</v>
      </c>
      <c r="G843" s="4">
        <v>42307</v>
      </c>
      <c r="H843" s="3" t="s">
        <v>20</v>
      </c>
      <c r="I843" s="3">
        <v>1</v>
      </c>
      <c r="J843" s="3" t="s">
        <v>1376</v>
      </c>
      <c r="K843" s="3" t="s">
        <v>3910</v>
      </c>
      <c r="L843" s="3" t="s">
        <v>504</v>
      </c>
      <c r="M843" s="3" t="s">
        <v>3911</v>
      </c>
      <c r="N843" s="3">
        <v>408.99239999999998</v>
      </c>
      <c r="O843" s="3" t="s">
        <v>3912</v>
      </c>
      <c r="P843" s="3" t="s">
        <v>25</v>
      </c>
      <c r="Q843" s="3" t="s">
        <v>5458</v>
      </c>
    </row>
    <row r="844" spans="1:17">
      <c r="A844" s="3">
        <v>4397585</v>
      </c>
      <c r="B844" s="3" t="s">
        <v>3913</v>
      </c>
      <c r="C844" s="3" t="str">
        <f>"9789004236738"</f>
        <v>9789004236738</v>
      </c>
      <c r="D844" s="3" t="str">
        <f>"9789004305861"</f>
        <v>9789004305861</v>
      </c>
      <c r="E844" s="3" t="s">
        <v>611</v>
      </c>
      <c r="F844" s="3" t="s">
        <v>611</v>
      </c>
      <c r="G844" s="4">
        <v>42314</v>
      </c>
      <c r="H844" s="3" t="s">
        <v>20</v>
      </c>
      <c r="I844" s="3">
        <v>1</v>
      </c>
      <c r="J844" s="3" t="s">
        <v>3914</v>
      </c>
      <c r="K844" s="3" t="s">
        <v>3915</v>
      </c>
      <c r="L844" s="3" t="s">
        <v>118</v>
      </c>
      <c r="M844" s="3" t="s">
        <v>3916</v>
      </c>
      <c r="N844" s="3" t="s">
        <v>3917</v>
      </c>
      <c r="O844" s="3" t="s">
        <v>3918</v>
      </c>
      <c r="P844" s="3" t="s">
        <v>25</v>
      </c>
      <c r="Q844" s="3" t="s">
        <v>5459</v>
      </c>
    </row>
    <row r="845" spans="1:17">
      <c r="A845" s="3">
        <v>4441487</v>
      </c>
      <c r="B845" s="3" t="s">
        <v>3919</v>
      </c>
      <c r="C845" s="3" t="str">
        <f>"9780231146753"</f>
        <v>9780231146753</v>
      </c>
      <c r="D845" s="3" t="str">
        <f>"9780231518505"</f>
        <v>9780231518505</v>
      </c>
      <c r="E845" s="3" t="s">
        <v>1779</v>
      </c>
      <c r="F845" s="3" t="s">
        <v>1779</v>
      </c>
      <c r="G845" s="4">
        <v>42479</v>
      </c>
      <c r="H845" s="3" t="s">
        <v>20</v>
      </c>
      <c r="I845" s="3"/>
      <c r="J845" s="3"/>
      <c r="K845" s="3" t="s">
        <v>3920</v>
      </c>
      <c r="L845" s="3" t="s">
        <v>22</v>
      </c>
      <c r="M845" s="3" t="s">
        <v>3921</v>
      </c>
      <c r="N845" s="3">
        <v>809.3</v>
      </c>
      <c r="O845" s="3" t="s">
        <v>3922</v>
      </c>
      <c r="P845" s="3" t="s">
        <v>25</v>
      </c>
      <c r="Q845" s="3" t="s">
        <v>5460</v>
      </c>
    </row>
    <row r="846" spans="1:17">
      <c r="A846" s="3">
        <v>4451986</v>
      </c>
      <c r="B846" s="3" t="s">
        <v>3923</v>
      </c>
      <c r="C846" s="3" t="str">
        <f>"9789027202987"</f>
        <v>9789027202987</v>
      </c>
      <c r="D846" s="3" t="str">
        <f>"9789027268396"</f>
        <v>9789027268396</v>
      </c>
      <c r="E846" s="3" t="s">
        <v>3924</v>
      </c>
      <c r="F846" s="3" t="s">
        <v>3924</v>
      </c>
      <c r="G846" s="4">
        <v>42460</v>
      </c>
      <c r="H846" s="3" t="s">
        <v>20</v>
      </c>
      <c r="I846" s="3">
        <v>1</v>
      </c>
      <c r="J846" s="3" t="s">
        <v>3925</v>
      </c>
      <c r="K846" s="3" t="s">
        <v>3926</v>
      </c>
      <c r="L846" s="3" t="s">
        <v>504</v>
      </c>
      <c r="M846" s="3" t="s">
        <v>3927</v>
      </c>
      <c r="N846" s="3" t="s">
        <v>3928</v>
      </c>
      <c r="O846" s="3" t="s">
        <v>3929</v>
      </c>
      <c r="P846" s="3" t="s">
        <v>25</v>
      </c>
      <c r="Q846" s="3" t="s">
        <v>5461</v>
      </c>
    </row>
    <row r="847" spans="1:17">
      <c r="A847" s="3">
        <v>4452084</v>
      </c>
      <c r="B847" s="3" t="s">
        <v>3930</v>
      </c>
      <c r="C847" s="3" t="str">
        <f>"9789004109636"</f>
        <v>9789004109636</v>
      </c>
      <c r="D847" s="3" t="str">
        <f>"9789004188846"</f>
        <v>9789004188846</v>
      </c>
      <c r="E847" s="3" t="s">
        <v>611</v>
      </c>
      <c r="F847" s="3" t="s">
        <v>611</v>
      </c>
      <c r="G847" s="4">
        <v>40225</v>
      </c>
      <c r="H847" s="3" t="s">
        <v>20</v>
      </c>
      <c r="I847" s="3">
        <v>1</v>
      </c>
      <c r="J847" s="3" t="s">
        <v>2128</v>
      </c>
      <c r="K847" s="3" t="s">
        <v>3931</v>
      </c>
      <c r="L847" s="3" t="s">
        <v>22</v>
      </c>
      <c r="M847" s="3" t="s">
        <v>3932</v>
      </c>
      <c r="N847" s="3">
        <v>882</v>
      </c>
      <c r="O847" s="3" t="s">
        <v>3933</v>
      </c>
      <c r="P847" s="3" t="s">
        <v>25</v>
      </c>
      <c r="Q847" s="3" t="s">
        <v>5462</v>
      </c>
    </row>
    <row r="848" spans="1:17">
      <c r="A848" s="3">
        <v>4452165</v>
      </c>
      <c r="B848" s="3" t="s">
        <v>3934</v>
      </c>
      <c r="C848" s="3" t="str">
        <f>"9789004109889"</f>
        <v>9789004109889</v>
      </c>
      <c r="D848" s="3" t="str">
        <f>"9789004294103"</f>
        <v>9789004294103</v>
      </c>
      <c r="E848" s="3" t="s">
        <v>611</v>
      </c>
      <c r="F848" s="3" t="s">
        <v>611</v>
      </c>
      <c r="G848" s="4">
        <v>36328</v>
      </c>
      <c r="H848" s="3" t="s">
        <v>20</v>
      </c>
      <c r="I848" s="3">
        <v>1</v>
      </c>
      <c r="J848" s="3" t="s">
        <v>612</v>
      </c>
      <c r="K848" s="3" t="s">
        <v>3935</v>
      </c>
      <c r="L848" s="3" t="s">
        <v>58</v>
      </c>
      <c r="M848" s="3" t="s">
        <v>3936</v>
      </c>
      <c r="N848" s="3">
        <v>939.43</v>
      </c>
      <c r="O848" s="3" t="s">
        <v>3937</v>
      </c>
      <c r="P848" s="3" t="s">
        <v>25</v>
      </c>
      <c r="Q848" s="3" t="s">
        <v>5463</v>
      </c>
    </row>
    <row r="849" spans="1:17">
      <c r="A849" s="3">
        <v>4452173</v>
      </c>
      <c r="B849" s="3" t="s">
        <v>3938</v>
      </c>
      <c r="C849" s="3" t="str">
        <f>"9789004116450"</f>
        <v>9789004116450</v>
      </c>
      <c r="D849" s="3" t="str">
        <f>"9789004294158"</f>
        <v>9789004294158</v>
      </c>
      <c r="E849" s="3" t="s">
        <v>611</v>
      </c>
      <c r="F849" s="3" t="s">
        <v>611</v>
      </c>
      <c r="G849" s="4">
        <v>36608</v>
      </c>
      <c r="H849" s="3" t="s">
        <v>20</v>
      </c>
      <c r="I849" s="3">
        <v>1</v>
      </c>
      <c r="J849" s="3" t="s">
        <v>612</v>
      </c>
      <c r="K849" s="3" t="s">
        <v>3939</v>
      </c>
      <c r="L849" s="3" t="s">
        <v>504</v>
      </c>
      <c r="M849" s="3" t="s">
        <v>3940</v>
      </c>
      <c r="N849" s="3">
        <v>492.29</v>
      </c>
      <c r="O849" s="3" t="s">
        <v>3941</v>
      </c>
      <c r="P849" s="3" t="s">
        <v>25</v>
      </c>
      <c r="Q849" s="3" t="s">
        <v>5464</v>
      </c>
    </row>
    <row r="850" spans="1:17">
      <c r="A850" s="3">
        <v>4452196</v>
      </c>
      <c r="B850" s="3" t="s">
        <v>3942</v>
      </c>
      <c r="C850" s="3" t="str">
        <f>"9789004117716"</f>
        <v>9789004117716</v>
      </c>
      <c r="D850" s="3" t="str">
        <f>"9789004294202"</f>
        <v>9789004294202</v>
      </c>
      <c r="E850" s="3" t="s">
        <v>611</v>
      </c>
      <c r="F850" s="3" t="s">
        <v>611</v>
      </c>
      <c r="G850" s="4">
        <v>36858</v>
      </c>
      <c r="H850" s="3" t="s">
        <v>20</v>
      </c>
      <c r="I850" s="3">
        <v>1</v>
      </c>
      <c r="J850" s="3" t="s">
        <v>612</v>
      </c>
      <c r="K850" s="3" t="s">
        <v>3943</v>
      </c>
      <c r="L850" s="3" t="s">
        <v>504</v>
      </c>
      <c r="M850" s="3" t="s">
        <v>3944</v>
      </c>
      <c r="N850" s="3" t="s">
        <v>3945</v>
      </c>
      <c r="O850" s="3" t="s">
        <v>3946</v>
      </c>
      <c r="P850" s="3" t="s">
        <v>25</v>
      </c>
      <c r="Q850" s="3" t="s">
        <v>5465</v>
      </c>
    </row>
    <row r="851" spans="1:17">
      <c r="A851" s="3">
        <v>4452239</v>
      </c>
      <c r="B851" s="3" t="s">
        <v>3947</v>
      </c>
      <c r="C851" s="3" t="str">
        <f>"9789004104990"</f>
        <v>9789004104990</v>
      </c>
      <c r="D851" s="3" t="str">
        <f>"9789004305021"</f>
        <v>9789004305021</v>
      </c>
      <c r="E851" s="3" t="s">
        <v>611</v>
      </c>
      <c r="F851" s="3" t="s">
        <v>611</v>
      </c>
      <c r="G851" s="4">
        <v>35765</v>
      </c>
      <c r="H851" s="3" t="s">
        <v>20</v>
      </c>
      <c r="I851" s="3">
        <v>2</v>
      </c>
      <c r="J851" s="3" t="s">
        <v>612</v>
      </c>
      <c r="K851" s="3" t="s">
        <v>3948</v>
      </c>
      <c r="L851" s="3" t="s">
        <v>504</v>
      </c>
      <c r="M851" s="3" t="s">
        <v>3949</v>
      </c>
      <c r="N851" s="3">
        <v>492.2</v>
      </c>
      <c r="O851" s="3" t="s">
        <v>3950</v>
      </c>
      <c r="P851" s="3" t="s">
        <v>25</v>
      </c>
      <c r="Q851" s="3" t="s">
        <v>5466</v>
      </c>
    </row>
    <row r="852" spans="1:17">
      <c r="A852" s="3">
        <v>4452240</v>
      </c>
      <c r="B852" s="3" t="s">
        <v>3951</v>
      </c>
      <c r="C852" s="3" t="str">
        <f>"9789004115101"</f>
        <v>9789004115101</v>
      </c>
      <c r="D852" s="3" t="str">
        <f>"9789004305045"</f>
        <v>9789004305045</v>
      </c>
      <c r="E852" s="3" t="s">
        <v>611</v>
      </c>
      <c r="F852" s="3" t="s">
        <v>611</v>
      </c>
      <c r="G852" s="4">
        <v>36319</v>
      </c>
      <c r="H852" s="3" t="s">
        <v>20</v>
      </c>
      <c r="I852" s="3">
        <v>1</v>
      </c>
      <c r="J852" s="3" t="s">
        <v>612</v>
      </c>
      <c r="K852" s="3" t="s">
        <v>3952</v>
      </c>
      <c r="L852" s="3" t="s">
        <v>504</v>
      </c>
      <c r="M852" s="3" t="s">
        <v>3953</v>
      </c>
      <c r="N852" s="3" t="s">
        <v>3954</v>
      </c>
      <c r="O852" s="3" t="s">
        <v>3955</v>
      </c>
      <c r="P852" s="3" t="s">
        <v>25</v>
      </c>
      <c r="Q852" s="3" t="s">
        <v>5467</v>
      </c>
    </row>
    <row r="853" spans="1:17">
      <c r="A853" s="3">
        <v>4512166</v>
      </c>
      <c r="B853" s="3" t="s">
        <v>3956</v>
      </c>
      <c r="C853" s="3" t="str">
        <f>"9781553394426"</f>
        <v>9781553394426</v>
      </c>
      <c r="D853" s="3" t="str">
        <f>"9781553395065"</f>
        <v>9781553395065</v>
      </c>
      <c r="E853" s="3" t="s">
        <v>3957</v>
      </c>
      <c r="F853" s="3" t="s">
        <v>3957</v>
      </c>
      <c r="G853" s="4">
        <v>42478</v>
      </c>
      <c r="H853" s="3" t="s">
        <v>20</v>
      </c>
      <c r="I853" s="3">
        <v>1</v>
      </c>
      <c r="J853" s="3"/>
      <c r="K853" s="3" t="s">
        <v>3958</v>
      </c>
      <c r="L853" s="3" t="s">
        <v>3959</v>
      </c>
      <c r="M853" s="3"/>
      <c r="N853" s="3"/>
      <c r="O853" s="3"/>
      <c r="P853" s="3" t="s">
        <v>25</v>
      </c>
      <c r="Q853" s="3" t="s">
        <v>5468</v>
      </c>
    </row>
    <row r="854" spans="1:17">
      <c r="A854" s="3">
        <v>4515718</v>
      </c>
      <c r="B854" s="3" t="s">
        <v>3960</v>
      </c>
      <c r="C854" s="3" t="str">
        <f>"9780786495054"</f>
        <v>9780786495054</v>
      </c>
      <c r="D854" s="3" t="str">
        <f>"9781476622682"</f>
        <v>9781476622682</v>
      </c>
      <c r="E854" s="3" t="s">
        <v>828</v>
      </c>
      <c r="F854" s="3" t="s">
        <v>828</v>
      </c>
      <c r="G854" s="4">
        <v>42485</v>
      </c>
      <c r="H854" s="3" t="s">
        <v>20</v>
      </c>
      <c r="I854" s="3">
        <v>1</v>
      </c>
      <c r="J854" s="3"/>
      <c r="K854" s="3" t="s">
        <v>953</v>
      </c>
      <c r="L854" s="3" t="s">
        <v>616</v>
      </c>
      <c r="M854" s="3"/>
      <c r="N854" s="3">
        <v>1.944</v>
      </c>
      <c r="O854" s="3"/>
      <c r="P854" s="3" t="s">
        <v>25</v>
      </c>
      <c r="Q854" s="3" t="s">
        <v>5469</v>
      </c>
    </row>
    <row r="855" spans="1:17">
      <c r="A855" s="3">
        <v>4515721</v>
      </c>
      <c r="B855" s="3" t="s">
        <v>3961</v>
      </c>
      <c r="C855" s="3" t="str">
        <f>"9780786475360"</f>
        <v>9780786475360</v>
      </c>
      <c r="D855" s="3" t="str">
        <f>"9781476622774"</f>
        <v>9781476622774</v>
      </c>
      <c r="E855" s="3" t="s">
        <v>828</v>
      </c>
      <c r="F855" s="3" t="s">
        <v>828</v>
      </c>
      <c r="G855" s="4">
        <v>42488</v>
      </c>
      <c r="H855" s="3" t="s">
        <v>20</v>
      </c>
      <c r="I855" s="3">
        <v>1</v>
      </c>
      <c r="J855" s="3"/>
      <c r="K855" s="3" t="s">
        <v>3962</v>
      </c>
      <c r="L855" s="3" t="s">
        <v>22</v>
      </c>
      <c r="M855" s="3"/>
      <c r="N855" s="3">
        <v>839.53087209</v>
      </c>
      <c r="O855" s="3"/>
      <c r="P855" s="3" t="s">
        <v>25</v>
      </c>
      <c r="Q855" s="3" t="s">
        <v>5470</v>
      </c>
    </row>
    <row r="856" spans="1:17">
      <c r="A856" s="3">
        <v>4520122</v>
      </c>
      <c r="B856" s="3" t="s">
        <v>3963</v>
      </c>
      <c r="C856" s="3" t="str">
        <f>"9783527337040"</f>
        <v>9783527337040</v>
      </c>
      <c r="D856" s="3" t="str">
        <f>"9783527681945"</f>
        <v>9783527681945</v>
      </c>
      <c r="E856" s="3" t="s">
        <v>32</v>
      </c>
      <c r="F856" s="3" t="s">
        <v>1677</v>
      </c>
      <c r="G856" s="4">
        <v>42604</v>
      </c>
      <c r="H856" s="3" t="s">
        <v>20</v>
      </c>
      <c r="I856" s="3">
        <v>1</v>
      </c>
      <c r="J856" s="3"/>
      <c r="K856" s="3" t="s">
        <v>3964</v>
      </c>
      <c r="L856" s="3" t="s">
        <v>2450</v>
      </c>
      <c r="M856" s="3" t="s">
        <v>3965</v>
      </c>
      <c r="N856" s="3">
        <v>20.727</v>
      </c>
      <c r="O856" s="3" t="s">
        <v>3966</v>
      </c>
      <c r="P856" s="3" t="s">
        <v>25</v>
      </c>
      <c r="Q856" s="3" t="s">
        <v>5471</v>
      </c>
    </row>
    <row r="857" spans="1:17">
      <c r="A857" s="3">
        <v>4525874</v>
      </c>
      <c r="B857" s="3" t="s">
        <v>3967</v>
      </c>
      <c r="C857" s="3" t="str">
        <f>"9781611177091"</f>
        <v>9781611177091</v>
      </c>
      <c r="D857" s="3" t="str">
        <f>"9781611177107"</f>
        <v>9781611177107</v>
      </c>
      <c r="E857" s="3" t="s">
        <v>3968</v>
      </c>
      <c r="F857" s="3" t="s">
        <v>3968</v>
      </c>
      <c r="G857" s="4">
        <v>42704</v>
      </c>
      <c r="H857" s="3" t="s">
        <v>20</v>
      </c>
      <c r="I857" s="3">
        <v>1</v>
      </c>
      <c r="J857" s="3" t="s">
        <v>3969</v>
      </c>
      <c r="K857" s="3" t="s">
        <v>3970</v>
      </c>
      <c r="L857" s="3" t="s">
        <v>616</v>
      </c>
      <c r="M857" s="3" t="s">
        <v>3971</v>
      </c>
      <c r="N857" s="3">
        <v>30</v>
      </c>
      <c r="O857" s="3"/>
      <c r="P857" s="3" t="s">
        <v>25</v>
      </c>
      <c r="Q857" s="3" t="s">
        <v>5472</v>
      </c>
    </row>
    <row r="858" spans="1:17">
      <c r="A858" s="3">
        <v>4527732</v>
      </c>
      <c r="B858" s="3" t="s">
        <v>3972</v>
      </c>
      <c r="C858" s="3" t="str">
        <f>"9781476663517"</f>
        <v>9781476663517</v>
      </c>
      <c r="D858" s="3" t="str">
        <f>"9781476623382"</f>
        <v>9781476623382</v>
      </c>
      <c r="E858" s="3" t="s">
        <v>828</v>
      </c>
      <c r="F858" s="3" t="s">
        <v>828</v>
      </c>
      <c r="G858" s="4">
        <v>42502</v>
      </c>
      <c r="H858" s="3" t="s">
        <v>20</v>
      </c>
      <c r="I858" s="3">
        <v>1</v>
      </c>
      <c r="J858" s="3"/>
      <c r="K858" s="3" t="s">
        <v>953</v>
      </c>
      <c r="L858" s="3" t="s">
        <v>64</v>
      </c>
      <c r="M858" s="3"/>
      <c r="N858" s="3">
        <v>398.45030000000003</v>
      </c>
      <c r="O858" s="3"/>
      <c r="P858" s="3" t="s">
        <v>25</v>
      </c>
      <c r="Q858" s="3" t="s">
        <v>5473</v>
      </c>
    </row>
    <row r="859" spans="1:17">
      <c r="A859" s="3">
        <v>4540504</v>
      </c>
      <c r="B859" s="3" t="s">
        <v>3973</v>
      </c>
      <c r="C859" s="3" t="str">
        <f>"9789004243095"</f>
        <v>9789004243095</v>
      </c>
      <c r="D859" s="3" t="str">
        <f>"9789004307667"</f>
        <v>9789004307667</v>
      </c>
      <c r="E859" s="3" t="s">
        <v>611</v>
      </c>
      <c r="F859" s="3" t="s">
        <v>611</v>
      </c>
      <c r="G859" s="4">
        <v>42425</v>
      </c>
      <c r="H859" s="3" t="s">
        <v>20</v>
      </c>
      <c r="I859" s="3">
        <v>1</v>
      </c>
      <c r="J859" s="3" t="s">
        <v>3914</v>
      </c>
      <c r="K859" s="3" t="s">
        <v>3974</v>
      </c>
      <c r="L859" s="3" t="s">
        <v>118</v>
      </c>
      <c r="M859" s="3" t="s">
        <v>3975</v>
      </c>
      <c r="N859" s="3" t="s">
        <v>3976</v>
      </c>
      <c r="O859" s="3" t="s">
        <v>3977</v>
      </c>
      <c r="P859" s="3" t="s">
        <v>25</v>
      </c>
      <c r="Q859" s="3" t="s">
        <v>5474</v>
      </c>
    </row>
    <row r="860" spans="1:17">
      <c r="A860" s="3">
        <v>4561849</v>
      </c>
      <c r="B860" s="3" t="s">
        <v>3978</v>
      </c>
      <c r="C860" s="3" t="str">
        <f>"9780253021335"</f>
        <v>9780253021335</v>
      </c>
      <c r="D860" s="3" t="str">
        <f>"9780253021564"</f>
        <v>9780253021564</v>
      </c>
      <c r="E860" s="3" t="s">
        <v>2432</v>
      </c>
      <c r="F860" s="3" t="s">
        <v>2432</v>
      </c>
      <c r="G860" s="4">
        <v>42541</v>
      </c>
      <c r="H860" s="3" t="s">
        <v>20</v>
      </c>
      <c r="I860" s="3"/>
      <c r="J860" s="3"/>
      <c r="K860" s="3" t="s">
        <v>3979</v>
      </c>
      <c r="L860" s="3" t="s">
        <v>974</v>
      </c>
      <c r="M860" s="3" t="s">
        <v>3980</v>
      </c>
      <c r="N860" s="3">
        <v>909.0496333003</v>
      </c>
      <c r="O860" s="3" t="s">
        <v>3981</v>
      </c>
      <c r="P860" s="3" t="s">
        <v>25</v>
      </c>
      <c r="Q860" s="3" t="s">
        <v>5475</v>
      </c>
    </row>
    <row r="861" spans="1:17">
      <c r="A861" s="3">
        <v>4563532</v>
      </c>
      <c r="B861" s="3" t="s">
        <v>3982</v>
      </c>
      <c r="C861" s="3" t="str">
        <f>"9781591145448"</f>
        <v>9781591145448</v>
      </c>
      <c r="D861" s="3" t="str">
        <f>"9781612519548"</f>
        <v>9781612519548</v>
      </c>
      <c r="E861" s="3" t="s">
        <v>3983</v>
      </c>
      <c r="F861" s="3" t="s">
        <v>3983</v>
      </c>
      <c r="G861" s="4">
        <v>41373</v>
      </c>
      <c r="H861" s="3" t="s">
        <v>20</v>
      </c>
      <c r="I861" s="3"/>
      <c r="J861" s="3"/>
      <c r="K861" s="3" t="s">
        <v>3984</v>
      </c>
      <c r="L861" s="3" t="s">
        <v>58</v>
      </c>
      <c r="M861" s="3" t="s">
        <v>3985</v>
      </c>
      <c r="N861" s="3">
        <v>940.54</v>
      </c>
      <c r="O861" s="3" t="s">
        <v>3986</v>
      </c>
      <c r="P861" s="3" t="s">
        <v>25</v>
      </c>
      <c r="Q861" s="3" t="s">
        <v>5476</v>
      </c>
    </row>
    <row r="862" spans="1:17">
      <c r="A862" s="3">
        <v>4570679</v>
      </c>
      <c r="B862" s="3" t="s">
        <v>3987</v>
      </c>
      <c r="C862" s="3" t="str">
        <f>"9789027258632"</f>
        <v>9789027258632</v>
      </c>
      <c r="D862" s="3" t="str">
        <f>"9789027267566"</f>
        <v>9789027267566</v>
      </c>
      <c r="E862" s="3" t="s">
        <v>3924</v>
      </c>
      <c r="F862" s="3" t="s">
        <v>3924</v>
      </c>
      <c r="G862" s="4">
        <v>42550</v>
      </c>
      <c r="H862" s="3" t="s">
        <v>20</v>
      </c>
      <c r="I862" s="3">
        <v>1</v>
      </c>
      <c r="J862" s="3" t="s">
        <v>3988</v>
      </c>
      <c r="K862" s="3" t="s">
        <v>3989</v>
      </c>
      <c r="L862" s="3" t="s">
        <v>504</v>
      </c>
      <c r="M862" s="3" t="s">
        <v>3990</v>
      </c>
      <c r="N862" s="3">
        <v>418</v>
      </c>
      <c r="O862" s="3" t="s">
        <v>3991</v>
      </c>
      <c r="P862" s="3" t="s">
        <v>25</v>
      </c>
      <c r="Q862" s="3" t="s">
        <v>5477</v>
      </c>
    </row>
    <row r="863" spans="1:17">
      <c r="A863" s="3">
        <v>4624993</v>
      </c>
      <c r="B863" s="3" t="s">
        <v>3992</v>
      </c>
      <c r="C863" s="3" t="str">
        <f>"9780785822813"</f>
        <v>9780785822813</v>
      </c>
      <c r="D863" s="3" t="str">
        <f>"9781610583787"</f>
        <v>9781610583787</v>
      </c>
      <c r="E863" s="3" t="s">
        <v>3993</v>
      </c>
      <c r="F863" s="3" t="s">
        <v>3994</v>
      </c>
      <c r="G863" s="4">
        <v>39840</v>
      </c>
      <c r="H863" s="3" t="s">
        <v>20</v>
      </c>
      <c r="I863" s="3"/>
      <c r="J863" s="3" t="s">
        <v>3995</v>
      </c>
      <c r="K863" s="3" t="s">
        <v>3996</v>
      </c>
      <c r="L863" s="3" t="s">
        <v>43</v>
      </c>
      <c r="M863" s="3" t="s">
        <v>3997</v>
      </c>
      <c r="N863" s="3">
        <v>751.42243429999996</v>
      </c>
      <c r="O863" s="3" t="s">
        <v>3998</v>
      </c>
      <c r="P863" s="3" t="s">
        <v>25</v>
      </c>
      <c r="Q863" s="3" t="s">
        <v>5478</v>
      </c>
    </row>
    <row r="864" spans="1:17">
      <c r="A864" s="3">
        <v>4624997</v>
      </c>
      <c r="B864" s="3" t="s">
        <v>3999</v>
      </c>
      <c r="C864" s="3" t="str">
        <f>"9780785819424"</f>
        <v>9780785819424</v>
      </c>
      <c r="D864" s="3" t="str">
        <f>"9781610583701"</f>
        <v>9781610583701</v>
      </c>
      <c r="E864" s="3" t="s">
        <v>3577</v>
      </c>
      <c r="F864" s="3" t="s">
        <v>4000</v>
      </c>
      <c r="G864" s="4">
        <v>39952</v>
      </c>
      <c r="H864" s="3" t="s">
        <v>20</v>
      </c>
      <c r="I864" s="3"/>
      <c r="J864" s="3" t="s">
        <v>3995</v>
      </c>
      <c r="K864" s="3" t="s">
        <v>4001</v>
      </c>
      <c r="L864" s="3" t="s">
        <v>43</v>
      </c>
      <c r="M864" s="3" t="s">
        <v>4002</v>
      </c>
      <c r="N864" s="3">
        <v>751.4</v>
      </c>
      <c r="O864" s="3" t="s">
        <v>4003</v>
      </c>
      <c r="P864" s="3" t="s">
        <v>25</v>
      </c>
      <c r="Q864" s="3" t="s">
        <v>5479</v>
      </c>
    </row>
    <row r="865" spans="1:17">
      <c r="A865" s="3">
        <v>4634666</v>
      </c>
      <c r="B865" s="3" t="s">
        <v>4004</v>
      </c>
      <c r="C865" s="3" t="str">
        <f>"9780802048172"</f>
        <v>9780802048172</v>
      </c>
      <c r="D865" s="3" t="str">
        <f>"9781442670884"</f>
        <v>9781442670884</v>
      </c>
      <c r="E865" s="3" t="s">
        <v>4005</v>
      </c>
      <c r="F865" s="3" t="s">
        <v>4005</v>
      </c>
      <c r="G865" s="4">
        <v>37947</v>
      </c>
      <c r="H865" s="3" t="s">
        <v>20</v>
      </c>
      <c r="I865" s="3"/>
      <c r="J865" s="3"/>
      <c r="K865" s="3" t="s">
        <v>4006</v>
      </c>
      <c r="L865" s="3" t="s">
        <v>616</v>
      </c>
      <c r="M865" s="3" t="s">
        <v>4007</v>
      </c>
      <c r="N865" s="3" t="s">
        <v>4008</v>
      </c>
      <c r="O865" s="3" t="s">
        <v>4009</v>
      </c>
      <c r="P865" s="3" t="s">
        <v>25</v>
      </c>
      <c r="Q865" s="3" t="s">
        <v>5480</v>
      </c>
    </row>
    <row r="866" spans="1:17">
      <c r="A866" s="3">
        <v>4643545</v>
      </c>
      <c r="B866" s="3" t="s">
        <v>4010</v>
      </c>
      <c r="C866" s="3" t="str">
        <f>"9780300113006"</f>
        <v>9780300113006</v>
      </c>
      <c r="D866" s="3" t="str">
        <f>"9780300156065"</f>
        <v>9780300156065</v>
      </c>
      <c r="E866" s="3" t="s">
        <v>3609</v>
      </c>
      <c r="F866" s="3" t="s">
        <v>3609</v>
      </c>
      <c r="G866" s="4">
        <v>39945</v>
      </c>
      <c r="H866" s="3" t="s">
        <v>20</v>
      </c>
      <c r="I866" s="3"/>
      <c r="J866" s="3" t="s">
        <v>4011</v>
      </c>
      <c r="K866" s="3" t="s">
        <v>4012</v>
      </c>
      <c r="L866" s="3" t="s">
        <v>354</v>
      </c>
      <c r="M866" s="3" t="s">
        <v>4013</v>
      </c>
      <c r="N866" s="3">
        <v>340.09219999999999</v>
      </c>
      <c r="O866" s="3" t="s">
        <v>4014</v>
      </c>
      <c r="P866" s="3" t="s">
        <v>25</v>
      </c>
      <c r="Q866" s="3" t="s">
        <v>5481</v>
      </c>
    </row>
    <row r="867" spans="1:17">
      <c r="A867" s="3">
        <v>4649525</v>
      </c>
      <c r="B867" s="3" t="s">
        <v>4015</v>
      </c>
      <c r="C867" s="3" t="str">
        <f>"9780786479924"</f>
        <v>9780786479924</v>
      </c>
      <c r="D867" s="3" t="str">
        <f>"9781476625997"</f>
        <v>9781476625997</v>
      </c>
      <c r="E867" s="3" t="s">
        <v>828</v>
      </c>
      <c r="F867" s="3" t="s">
        <v>828</v>
      </c>
      <c r="G867" s="4">
        <v>42604</v>
      </c>
      <c r="H867" s="3" t="s">
        <v>20</v>
      </c>
      <c r="I867" s="3">
        <v>3</v>
      </c>
      <c r="J867" s="3"/>
      <c r="K867" s="3" t="s">
        <v>4016</v>
      </c>
      <c r="L867" s="3" t="s">
        <v>58</v>
      </c>
      <c r="M867" s="3"/>
      <c r="N867" s="3">
        <v>920.02</v>
      </c>
      <c r="O867" s="3"/>
      <c r="P867" s="3" t="s">
        <v>25</v>
      </c>
      <c r="Q867" s="3" t="s">
        <v>5482</v>
      </c>
    </row>
    <row r="868" spans="1:17">
      <c r="A868" s="3">
        <v>4660454</v>
      </c>
      <c r="B868" s="3" t="s">
        <v>4017</v>
      </c>
      <c r="C868" s="3" t="str">
        <f>"9781619259317"</f>
        <v>9781619259317</v>
      </c>
      <c r="D868" s="3" t="str">
        <f>"9781619259324"</f>
        <v>9781619259324</v>
      </c>
      <c r="E868" s="3" t="s">
        <v>3341</v>
      </c>
      <c r="F868" s="3" t="s">
        <v>3341</v>
      </c>
      <c r="G868" s="4">
        <v>42614</v>
      </c>
      <c r="H868" s="3" t="s">
        <v>20</v>
      </c>
      <c r="I868" s="3">
        <v>8</v>
      </c>
      <c r="J868" s="3"/>
      <c r="K868" s="3" t="s">
        <v>4018</v>
      </c>
      <c r="L868" s="3" t="s">
        <v>532</v>
      </c>
      <c r="M868" s="3" t="s">
        <v>4019</v>
      </c>
      <c r="N868" s="3">
        <v>371.01097302099902</v>
      </c>
      <c r="O868" s="3" t="s">
        <v>4020</v>
      </c>
      <c r="P868" s="3" t="s">
        <v>25</v>
      </c>
      <c r="Q868" s="3" t="s">
        <v>5483</v>
      </c>
    </row>
    <row r="869" spans="1:17">
      <c r="A869" s="3">
        <v>4661498</v>
      </c>
      <c r="B869" s="3" t="s">
        <v>4021</v>
      </c>
      <c r="C869" s="3" t="str">
        <f>"9780804783415"</f>
        <v>9780804783415</v>
      </c>
      <c r="D869" s="3" t="str">
        <f>"9781503600225"</f>
        <v>9781503600225</v>
      </c>
      <c r="E869" s="3" t="s">
        <v>4022</v>
      </c>
      <c r="F869" s="3" t="s">
        <v>4023</v>
      </c>
      <c r="G869" s="4">
        <v>42620</v>
      </c>
      <c r="H869" s="3" t="s">
        <v>20</v>
      </c>
      <c r="I869" s="3">
        <v>2</v>
      </c>
      <c r="J869" s="3"/>
      <c r="K869" s="3" t="s">
        <v>4024</v>
      </c>
      <c r="L869" s="3" t="s">
        <v>64</v>
      </c>
      <c r="M869" s="3" t="s">
        <v>4025</v>
      </c>
      <c r="N869" s="3">
        <v>301.02999999999997</v>
      </c>
      <c r="O869" s="3" t="s">
        <v>261</v>
      </c>
      <c r="P869" s="3" t="s">
        <v>25</v>
      </c>
      <c r="Q869" s="3" t="s">
        <v>5484</v>
      </c>
    </row>
    <row r="870" spans="1:17">
      <c r="A870" s="3">
        <v>4671975</v>
      </c>
      <c r="B870" s="3" t="s">
        <v>17</v>
      </c>
      <c r="C870" s="3" t="str">
        <f>"9780802026767"</f>
        <v>9780802026767</v>
      </c>
      <c r="D870" s="3" t="str">
        <f>"9781442680104"</f>
        <v>9781442680104</v>
      </c>
      <c r="E870" s="3" t="s">
        <v>4005</v>
      </c>
      <c r="F870" s="3" t="s">
        <v>4005</v>
      </c>
      <c r="G870" s="4">
        <v>33208</v>
      </c>
      <c r="H870" s="3" t="s">
        <v>20</v>
      </c>
      <c r="I870" s="3"/>
      <c r="J870" s="3"/>
      <c r="K870" s="3" t="s">
        <v>4026</v>
      </c>
      <c r="L870" s="3" t="s">
        <v>22</v>
      </c>
      <c r="M870" s="3" t="s">
        <v>4027</v>
      </c>
      <c r="N870" s="3">
        <v>821.3</v>
      </c>
      <c r="O870" s="3" t="s">
        <v>4028</v>
      </c>
      <c r="P870" s="3" t="s">
        <v>25</v>
      </c>
      <c r="Q870" s="3" t="s">
        <v>5485</v>
      </c>
    </row>
    <row r="871" spans="1:17">
      <c r="A871" s="3">
        <v>4672841</v>
      </c>
      <c r="B871" s="3" t="s">
        <v>4029</v>
      </c>
      <c r="C871" s="3" t="str">
        <f>"9781442611696"</f>
        <v>9781442611696</v>
      </c>
      <c r="D871" s="3" t="str">
        <f>"9781442695528"</f>
        <v>9781442695528</v>
      </c>
      <c r="E871" s="3" t="s">
        <v>4005</v>
      </c>
      <c r="F871" s="3" t="s">
        <v>4005</v>
      </c>
      <c r="G871" s="4">
        <v>41376</v>
      </c>
      <c r="H871" s="3" t="s">
        <v>20</v>
      </c>
      <c r="I871" s="3"/>
      <c r="J871" s="3"/>
      <c r="K871" s="3" t="s">
        <v>4030</v>
      </c>
      <c r="L871" s="3" t="s">
        <v>64</v>
      </c>
      <c r="M871" s="3" t="s">
        <v>4031</v>
      </c>
      <c r="N871" s="3">
        <v>302.20299999999997</v>
      </c>
      <c r="O871" s="3" t="s">
        <v>4032</v>
      </c>
      <c r="P871" s="3" t="s">
        <v>25</v>
      </c>
      <c r="Q871" s="3" t="s">
        <v>5486</v>
      </c>
    </row>
    <row r="872" spans="1:17">
      <c r="A872" s="3">
        <v>4674267</v>
      </c>
      <c r="B872" s="3" t="s">
        <v>4033</v>
      </c>
      <c r="C872" s="3" t="str">
        <f>"9780253022448"</f>
        <v>9780253022448</v>
      </c>
      <c r="D872" s="3" t="str">
        <f>"9780253022561"</f>
        <v>9780253022561</v>
      </c>
      <c r="E872" s="3" t="s">
        <v>2432</v>
      </c>
      <c r="F872" s="3" t="s">
        <v>2432</v>
      </c>
      <c r="G872" s="4">
        <v>42590</v>
      </c>
      <c r="H872" s="3" t="s">
        <v>20</v>
      </c>
      <c r="I872" s="3"/>
      <c r="J872" s="3" t="s">
        <v>4034</v>
      </c>
      <c r="K872" s="3" t="s">
        <v>4035</v>
      </c>
      <c r="L872" s="3" t="s">
        <v>1157</v>
      </c>
      <c r="M872" s="3"/>
      <c r="N872" s="3">
        <v>910.3</v>
      </c>
      <c r="O872" s="3" t="s">
        <v>4036</v>
      </c>
      <c r="P872" s="3" t="s">
        <v>25</v>
      </c>
      <c r="Q872" s="3" t="s">
        <v>5487</v>
      </c>
    </row>
    <row r="873" spans="1:17">
      <c r="A873" s="3">
        <v>4699805</v>
      </c>
      <c r="B873" s="3" t="s">
        <v>4037</v>
      </c>
      <c r="C873" s="3" t="str">
        <f>"9781625110336"</f>
        <v>9781625110336</v>
      </c>
      <c r="D873" s="3" t="str">
        <f>"9781625110343"</f>
        <v>9781625110343</v>
      </c>
      <c r="E873" s="3" t="s">
        <v>4038</v>
      </c>
      <c r="F873" s="3" t="s">
        <v>4038</v>
      </c>
      <c r="G873" s="4">
        <v>42338</v>
      </c>
      <c r="H873" s="3" t="s">
        <v>20</v>
      </c>
      <c r="I873" s="3">
        <v>1</v>
      </c>
      <c r="J873" s="3"/>
      <c r="K873" s="3" t="s">
        <v>4039</v>
      </c>
      <c r="L873" s="3" t="s">
        <v>4040</v>
      </c>
      <c r="M873" s="3" t="s">
        <v>4041</v>
      </c>
      <c r="N873" s="3">
        <v>917.64036050000004</v>
      </c>
      <c r="O873" s="3" t="s">
        <v>4042</v>
      </c>
      <c r="P873" s="3" t="s">
        <v>25</v>
      </c>
      <c r="Q873" s="3" t="s">
        <v>5488</v>
      </c>
    </row>
    <row r="874" spans="1:17">
      <c r="A874" s="3">
        <v>4699938</v>
      </c>
      <c r="B874" s="3" t="s">
        <v>4043</v>
      </c>
      <c r="C874" s="3" t="str">
        <f>"9781442615991"</f>
        <v>9781442615991</v>
      </c>
      <c r="D874" s="3" t="str">
        <f>"9781442669499"</f>
        <v>9781442669499</v>
      </c>
      <c r="E874" s="3" t="s">
        <v>4005</v>
      </c>
      <c r="F874" s="3" t="s">
        <v>4005</v>
      </c>
      <c r="G874" s="4">
        <v>42625</v>
      </c>
      <c r="H874" s="3" t="s">
        <v>20</v>
      </c>
      <c r="I874" s="3"/>
      <c r="J874" s="3"/>
      <c r="K874" s="3" t="s">
        <v>4044</v>
      </c>
      <c r="L874" s="3" t="s">
        <v>504</v>
      </c>
      <c r="M874" s="3" t="s">
        <v>4045</v>
      </c>
      <c r="N874" s="3" t="s">
        <v>4046</v>
      </c>
      <c r="O874" s="3" t="s">
        <v>4047</v>
      </c>
      <c r="P874" s="3" t="s">
        <v>25</v>
      </c>
      <c r="Q874" s="3" t="s">
        <v>5489</v>
      </c>
    </row>
    <row r="875" spans="1:17">
      <c r="A875" s="3">
        <v>4704492</v>
      </c>
      <c r="B875" s="3" t="s">
        <v>4048</v>
      </c>
      <c r="C875" s="3" t="str">
        <f>"9780195335286"</f>
        <v>9780195335286</v>
      </c>
      <c r="D875" s="3" t="str">
        <f>"9780199714995"</f>
        <v>9780199714995</v>
      </c>
      <c r="E875" s="3" t="s">
        <v>910</v>
      </c>
      <c r="F875" s="3" t="s">
        <v>910</v>
      </c>
      <c r="G875" s="4">
        <v>40970</v>
      </c>
      <c r="H875" s="3" t="s">
        <v>20</v>
      </c>
      <c r="I875" s="3">
        <v>2</v>
      </c>
      <c r="J875" s="3" t="s">
        <v>3122</v>
      </c>
      <c r="K875" s="3" t="s">
        <v>4049</v>
      </c>
      <c r="L875" s="3" t="s">
        <v>199</v>
      </c>
      <c r="M875" s="3" t="s">
        <v>4050</v>
      </c>
      <c r="N875" s="3">
        <v>616.85227065100003</v>
      </c>
      <c r="O875" s="3" t="s">
        <v>4051</v>
      </c>
      <c r="P875" s="3" t="s">
        <v>25</v>
      </c>
      <c r="Q875" s="3" t="s">
        <v>5490</v>
      </c>
    </row>
    <row r="876" spans="1:17">
      <c r="A876" s="3">
        <v>4715158</v>
      </c>
      <c r="B876" s="3" t="s">
        <v>4052</v>
      </c>
      <c r="C876" s="3" t="str">
        <f>"9789004321465"</f>
        <v>9789004321465</v>
      </c>
      <c r="D876" s="3" t="str">
        <f>"9789004321823"</f>
        <v>9789004321823</v>
      </c>
      <c r="E876" s="3" t="s">
        <v>611</v>
      </c>
      <c r="F876" s="3" t="s">
        <v>611</v>
      </c>
      <c r="G876" s="4">
        <v>42670</v>
      </c>
      <c r="H876" s="3" t="s">
        <v>20</v>
      </c>
      <c r="I876" s="3">
        <v>1</v>
      </c>
      <c r="J876" s="3" t="s">
        <v>612</v>
      </c>
      <c r="K876" s="3" t="s">
        <v>4053</v>
      </c>
      <c r="L876" s="3" t="s">
        <v>504</v>
      </c>
      <c r="M876" s="3" t="s">
        <v>4054</v>
      </c>
      <c r="N876" s="3">
        <v>492.73928000000001</v>
      </c>
      <c r="O876" s="3" t="s">
        <v>4055</v>
      </c>
      <c r="P876" s="3" t="s">
        <v>25</v>
      </c>
      <c r="Q876" s="3" t="s">
        <v>5491</v>
      </c>
    </row>
    <row r="877" spans="1:17">
      <c r="A877" s="3">
        <v>4727838</v>
      </c>
      <c r="B877" s="3" t="s">
        <v>4056</v>
      </c>
      <c r="C877" s="3" t="str">
        <f>"9789004325692"</f>
        <v>9789004325692</v>
      </c>
      <c r="D877" s="3" t="str">
        <f>"9789004326422"</f>
        <v>9789004326422</v>
      </c>
      <c r="E877" s="3" t="s">
        <v>611</v>
      </c>
      <c r="F877" s="3" t="s">
        <v>611</v>
      </c>
      <c r="G877" s="4">
        <v>42689</v>
      </c>
      <c r="H877" s="3" t="s">
        <v>20</v>
      </c>
      <c r="I877" s="3">
        <v>1</v>
      </c>
      <c r="J877" s="3" t="s">
        <v>612</v>
      </c>
      <c r="K877" s="3" t="s">
        <v>4057</v>
      </c>
      <c r="L877" s="3" t="s">
        <v>616</v>
      </c>
      <c r="M877" s="3"/>
      <c r="N877" s="3"/>
      <c r="O877" s="3"/>
      <c r="P877" s="3" t="s">
        <v>25</v>
      </c>
      <c r="Q877" s="3" t="s">
        <v>5492</v>
      </c>
    </row>
    <row r="878" spans="1:17">
      <c r="A878" s="3">
        <v>4731143</v>
      </c>
      <c r="B878" s="3" t="s">
        <v>4058</v>
      </c>
      <c r="C878" s="3" t="str">
        <f>"9789004326316"</f>
        <v>9789004326316</v>
      </c>
      <c r="D878" s="3" t="str">
        <f>"9789004326323"</f>
        <v>9789004326323</v>
      </c>
      <c r="E878" s="3" t="s">
        <v>611</v>
      </c>
      <c r="F878" s="3" t="s">
        <v>611</v>
      </c>
      <c r="G878" s="4">
        <v>42684</v>
      </c>
      <c r="H878" s="3" t="s">
        <v>20</v>
      </c>
      <c r="I878" s="3">
        <v>1</v>
      </c>
      <c r="J878" s="3" t="s">
        <v>612</v>
      </c>
      <c r="K878" s="3" t="s">
        <v>4059</v>
      </c>
      <c r="L878" s="3" t="s">
        <v>22</v>
      </c>
      <c r="M878" s="3"/>
      <c r="N878" s="3" t="s">
        <v>4060</v>
      </c>
      <c r="O878" s="3"/>
      <c r="P878" s="3" t="s">
        <v>25</v>
      </c>
      <c r="Q878" s="3" t="s">
        <v>5493</v>
      </c>
    </row>
    <row r="879" spans="1:17">
      <c r="A879" s="3">
        <v>4731914</v>
      </c>
      <c r="B879" s="3" t="s">
        <v>4061</v>
      </c>
      <c r="C879" s="3" t="str">
        <f>"9780520291966"</f>
        <v>9780520291966</v>
      </c>
      <c r="D879" s="3" t="str">
        <f>"9780520965553"</f>
        <v>9780520965553</v>
      </c>
      <c r="E879" s="3" t="s">
        <v>2736</v>
      </c>
      <c r="F879" s="3" t="s">
        <v>2736</v>
      </c>
      <c r="G879" s="4">
        <v>42696</v>
      </c>
      <c r="H879" s="3" t="s">
        <v>20</v>
      </c>
      <c r="I879" s="3">
        <v>1</v>
      </c>
      <c r="J879" s="3"/>
      <c r="K879" s="3" t="s">
        <v>4062</v>
      </c>
      <c r="L879" s="3" t="s">
        <v>2744</v>
      </c>
      <c r="M879" s="3" t="s">
        <v>4063</v>
      </c>
      <c r="N879" s="3">
        <v>610.95102999999995</v>
      </c>
      <c r="O879" s="3" t="s">
        <v>4064</v>
      </c>
      <c r="P879" s="3" t="s">
        <v>25</v>
      </c>
      <c r="Q879" s="3" t="s">
        <v>5494</v>
      </c>
    </row>
    <row r="880" spans="1:17">
      <c r="A880" s="3">
        <v>4732310</v>
      </c>
      <c r="B880" s="3" t="s">
        <v>4065</v>
      </c>
      <c r="C880" s="3" t="str">
        <f>"9780199688869"</f>
        <v>9780199688869</v>
      </c>
      <c r="D880" s="3" t="str">
        <f>"9780191002717"</f>
        <v>9780191002717</v>
      </c>
      <c r="E880" s="3" t="s">
        <v>1656</v>
      </c>
      <c r="F880" s="3" t="s">
        <v>1656</v>
      </c>
      <c r="G880" s="4">
        <v>42731</v>
      </c>
      <c r="H880" s="3" t="s">
        <v>20</v>
      </c>
      <c r="I880" s="3">
        <v>2</v>
      </c>
      <c r="J880" s="3" t="s">
        <v>3825</v>
      </c>
      <c r="K880" s="3" t="s">
        <v>4066</v>
      </c>
      <c r="L880" s="3" t="s">
        <v>4067</v>
      </c>
      <c r="M880" s="3" t="s">
        <v>4068</v>
      </c>
      <c r="N880" s="3">
        <v>616.02499999999998</v>
      </c>
      <c r="O880" s="3" t="s">
        <v>4069</v>
      </c>
      <c r="P880" s="3" t="s">
        <v>25</v>
      </c>
      <c r="Q880" s="3" t="s">
        <v>5495</v>
      </c>
    </row>
    <row r="881" spans="1:17">
      <c r="A881" s="3">
        <v>4734083</v>
      </c>
      <c r="B881" s="3" t="s">
        <v>4070</v>
      </c>
      <c r="C881" s="3" t="str">
        <f>"9789004323308"</f>
        <v>9789004323308</v>
      </c>
      <c r="D881" s="3" t="str">
        <f>"9789004326262"</f>
        <v>9789004326262</v>
      </c>
      <c r="E881" s="3" t="s">
        <v>611</v>
      </c>
      <c r="F881" s="3" t="s">
        <v>611</v>
      </c>
      <c r="G881" s="4">
        <v>42684</v>
      </c>
      <c r="H881" s="3" t="s">
        <v>20</v>
      </c>
      <c r="I881" s="3">
        <v>1</v>
      </c>
      <c r="J881" s="3" t="s">
        <v>612</v>
      </c>
      <c r="K881" s="3" t="s">
        <v>4059</v>
      </c>
      <c r="L881" s="3" t="s">
        <v>22</v>
      </c>
      <c r="M881" s="3"/>
      <c r="N881" s="3" t="s">
        <v>4060</v>
      </c>
      <c r="O881" s="3"/>
      <c r="P881" s="3" t="s">
        <v>25</v>
      </c>
      <c r="Q881" s="3" t="s">
        <v>5496</v>
      </c>
    </row>
    <row r="882" spans="1:17">
      <c r="A882" s="3">
        <v>4737083</v>
      </c>
      <c r="B882" s="3" t="s">
        <v>4071</v>
      </c>
      <c r="C882" s="3" t="str">
        <f>"9780262035170"</f>
        <v>9780262035170</v>
      </c>
      <c r="D882" s="3" t="str">
        <f>"9780262336291"</f>
        <v>9780262336291</v>
      </c>
      <c r="E882" s="3" t="s">
        <v>3438</v>
      </c>
      <c r="F882" s="3" t="s">
        <v>3438</v>
      </c>
      <c r="G882" s="4">
        <v>42685</v>
      </c>
      <c r="H882" s="3" t="s">
        <v>20</v>
      </c>
      <c r="I882" s="3">
        <v>1</v>
      </c>
      <c r="J882" s="3"/>
      <c r="K882" s="3" t="s">
        <v>4072</v>
      </c>
      <c r="L882" s="3" t="s">
        <v>36</v>
      </c>
      <c r="M882" s="3" t="s">
        <v>4073</v>
      </c>
      <c r="N882" s="3">
        <v>650.1</v>
      </c>
      <c r="O882" s="3" t="s">
        <v>4074</v>
      </c>
      <c r="P882" s="3" t="s">
        <v>25</v>
      </c>
      <c r="Q882" s="3" t="s">
        <v>5497</v>
      </c>
    </row>
    <row r="883" spans="1:17">
      <c r="A883" s="3">
        <v>4751054</v>
      </c>
      <c r="B883" s="3" t="s">
        <v>4075</v>
      </c>
      <c r="C883" s="3" t="str">
        <f>"9789004206243"</f>
        <v>9789004206243</v>
      </c>
      <c r="D883" s="3" t="str">
        <f>"9789004266179"</f>
        <v>9789004266179</v>
      </c>
      <c r="E883" s="3" t="s">
        <v>611</v>
      </c>
      <c r="F883" s="3" t="s">
        <v>611</v>
      </c>
      <c r="G883" s="4">
        <v>41781</v>
      </c>
      <c r="H883" s="3" t="s">
        <v>20</v>
      </c>
      <c r="I883" s="3">
        <v>1</v>
      </c>
      <c r="J883" s="3"/>
      <c r="K883" s="3" t="s">
        <v>4076</v>
      </c>
      <c r="L883" s="3" t="s">
        <v>64</v>
      </c>
      <c r="M883" s="3" t="s">
        <v>4077</v>
      </c>
      <c r="N883" s="3">
        <v>301.02999999999997</v>
      </c>
      <c r="O883" s="3" t="s">
        <v>4078</v>
      </c>
      <c r="P883" s="3" t="s">
        <v>25</v>
      </c>
      <c r="Q883" s="3" t="s">
        <v>5498</v>
      </c>
    </row>
    <row r="884" spans="1:17">
      <c r="A884" s="3">
        <v>4766600</v>
      </c>
      <c r="B884" s="3" t="s">
        <v>4079</v>
      </c>
      <c r="C884" s="3" t="str">
        <f>"9780873899383"</f>
        <v>9780873899383</v>
      </c>
      <c r="D884" s="3" t="str">
        <f>"9780873899383"</f>
        <v>9780873899383</v>
      </c>
      <c r="E884" s="3" t="s">
        <v>4080</v>
      </c>
      <c r="F884" s="3" t="s">
        <v>4080</v>
      </c>
      <c r="G884" s="4">
        <v>42492</v>
      </c>
      <c r="H884" s="3" t="s">
        <v>20</v>
      </c>
      <c r="I884" s="3">
        <v>1</v>
      </c>
      <c r="J884" s="3"/>
      <c r="K884" s="3" t="s">
        <v>4081</v>
      </c>
      <c r="L884" s="3" t="s">
        <v>36</v>
      </c>
      <c r="M884" s="3" t="s">
        <v>4082</v>
      </c>
      <c r="N884" s="3" t="s">
        <v>4083</v>
      </c>
      <c r="O884" s="3" t="s">
        <v>4084</v>
      </c>
      <c r="P884" s="3" t="s">
        <v>25</v>
      </c>
      <c r="Q884" s="3" t="s">
        <v>5499</v>
      </c>
    </row>
    <row r="885" spans="1:17">
      <c r="A885" s="3">
        <v>4772292</v>
      </c>
      <c r="B885" s="3" t="s">
        <v>4085</v>
      </c>
      <c r="C885" s="3" t="str">
        <f>"9789004324565"</f>
        <v>9789004324565</v>
      </c>
      <c r="D885" s="3" t="str">
        <f>"9789004325630"</f>
        <v>9789004325630</v>
      </c>
      <c r="E885" s="3" t="s">
        <v>611</v>
      </c>
      <c r="F885" s="3" t="s">
        <v>611</v>
      </c>
      <c r="G885" s="4">
        <v>42684</v>
      </c>
      <c r="H885" s="3" t="s">
        <v>20</v>
      </c>
      <c r="I885" s="3">
        <v>1</v>
      </c>
      <c r="J885" s="3" t="s">
        <v>4086</v>
      </c>
      <c r="K885" s="3" t="s">
        <v>4087</v>
      </c>
      <c r="L885" s="3" t="s">
        <v>616</v>
      </c>
      <c r="M885" s="3"/>
      <c r="N885" s="3"/>
      <c r="O885" s="3"/>
      <c r="P885" s="3" t="s">
        <v>25</v>
      </c>
      <c r="Q885" s="3" t="s">
        <v>5500</v>
      </c>
    </row>
    <row r="886" spans="1:17">
      <c r="A886" s="3">
        <v>4773885</v>
      </c>
      <c r="B886" s="3" t="s">
        <v>4088</v>
      </c>
      <c r="C886" s="3" t="str">
        <f>"9781631571282"</f>
        <v>9781631571282</v>
      </c>
      <c r="D886" s="3" t="str">
        <f>"9781631571299"</f>
        <v>9781631571299</v>
      </c>
      <c r="E886" s="3" t="s">
        <v>4089</v>
      </c>
      <c r="F886" s="3" t="s">
        <v>4089</v>
      </c>
      <c r="G886" s="4">
        <v>42734</v>
      </c>
      <c r="H886" s="3" t="s">
        <v>20</v>
      </c>
      <c r="I886" s="3">
        <v>1</v>
      </c>
      <c r="J886" s="3"/>
      <c r="K886" s="3" t="s">
        <v>4090</v>
      </c>
      <c r="L886" s="3" t="s">
        <v>714</v>
      </c>
      <c r="M886" s="3" t="s">
        <v>4091</v>
      </c>
      <c r="N886" s="3">
        <v>338.947</v>
      </c>
      <c r="O886" s="3" t="s">
        <v>4092</v>
      </c>
      <c r="P886" s="3" t="s">
        <v>25</v>
      </c>
      <c r="Q886" s="3" t="s">
        <v>5501</v>
      </c>
    </row>
    <row r="887" spans="1:17">
      <c r="A887" s="3">
        <v>4777260</v>
      </c>
      <c r="B887" s="3" t="s">
        <v>4093</v>
      </c>
      <c r="C887" s="3" t="str">
        <f>"9780719091391"</f>
        <v>9780719091391</v>
      </c>
      <c r="D887" s="3" t="str">
        <f>"9781526111975"</f>
        <v>9781526111975</v>
      </c>
      <c r="E887" s="3" t="s">
        <v>4094</v>
      </c>
      <c r="F887" s="3" t="s">
        <v>4094</v>
      </c>
      <c r="G887" s="4">
        <v>41698</v>
      </c>
      <c r="H887" s="3" t="s">
        <v>20</v>
      </c>
      <c r="I887" s="3">
        <v>4</v>
      </c>
      <c r="J887" s="3"/>
      <c r="K887" s="3" t="s">
        <v>4095</v>
      </c>
      <c r="L887" s="3" t="s">
        <v>43</v>
      </c>
      <c r="M887" s="3" t="s">
        <v>4096</v>
      </c>
      <c r="N887" s="3">
        <v>791.43094102999999</v>
      </c>
      <c r="O887" s="3" t="s">
        <v>4097</v>
      </c>
      <c r="P887" s="3" t="s">
        <v>25</v>
      </c>
      <c r="Q887" s="3" t="s">
        <v>5502</v>
      </c>
    </row>
    <row r="888" spans="1:17">
      <c r="A888" s="3">
        <v>4777309</v>
      </c>
      <c r="B888" s="3" t="s">
        <v>4098</v>
      </c>
      <c r="C888" s="3" t="str">
        <f>"9780813169255"</f>
        <v>9780813169255</v>
      </c>
      <c r="D888" s="3" t="str">
        <f>"9780813169279"</f>
        <v>9780813169279</v>
      </c>
      <c r="E888" s="3" t="s">
        <v>2998</v>
      </c>
      <c r="F888" s="3" t="s">
        <v>2998</v>
      </c>
      <c r="G888" s="4">
        <v>42790</v>
      </c>
      <c r="H888" s="3" t="s">
        <v>20</v>
      </c>
      <c r="I888" s="3"/>
      <c r="J888" s="3"/>
      <c r="K888" s="3" t="s">
        <v>4099</v>
      </c>
      <c r="L888" s="3" t="s">
        <v>58</v>
      </c>
      <c r="M888" s="3" t="s">
        <v>4100</v>
      </c>
      <c r="N888" s="3">
        <v>976.97540000000004</v>
      </c>
      <c r="O888" s="3" t="s">
        <v>4101</v>
      </c>
      <c r="P888" s="3" t="s">
        <v>25</v>
      </c>
      <c r="Q888" s="3" t="s">
        <v>5503</v>
      </c>
    </row>
    <row r="889" spans="1:17">
      <c r="A889" s="3">
        <v>4790419</v>
      </c>
      <c r="B889" s="3" t="s">
        <v>4102</v>
      </c>
      <c r="C889" s="3" t="str">
        <f>"9789004334588"</f>
        <v>9789004334588</v>
      </c>
      <c r="D889" s="3" t="str">
        <f>"9789004334595"</f>
        <v>9789004334595</v>
      </c>
      <c r="E889" s="3" t="s">
        <v>611</v>
      </c>
      <c r="F889" s="3" t="s">
        <v>611</v>
      </c>
      <c r="G889" s="4">
        <v>42712</v>
      </c>
      <c r="H889" s="3" t="s">
        <v>20</v>
      </c>
      <c r="I889" s="3">
        <v>1</v>
      </c>
      <c r="J889" s="3"/>
      <c r="K889" s="3" t="s">
        <v>4103</v>
      </c>
      <c r="L889" s="3" t="s">
        <v>2495</v>
      </c>
      <c r="M889" s="3" t="s">
        <v>4104</v>
      </c>
      <c r="N889" s="3"/>
      <c r="O889" s="3"/>
      <c r="P889" s="3" t="s">
        <v>25</v>
      </c>
      <c r="Q889" s="3" t="s">
        <v>5504</v>
      </c>
    </row>
    <row r="890" spans="1:17">
      <c r="A890" s="3">
        <v>4790483</v>
      </c>
      <c r="B890" s="3" t="s">
        <v>4105</v>
      </c>
      <c r="C890" s="3" t="str">
        <f>"9789004122512"</f>
        <v>9789004122512</v>
      </c>
      <c r="D890" s="3" t="str">
        <f>"9789004294264"</f>
        <v>9789004294264</v>
      </c>
      <c r="E890" s="3" t="s">
        <v>611</v>
      </c>
      <c r="F890" s="3" t="s">
        <v>611</v>
      </c>
      <c r="G890" s="4">
        <v>37967</v>
      </c>
      <c r="H890" s="3" t="s">
        <v>20</v>
      </c>
      <c r="I890" s="3">
        <v>1</v>
      </c>
      <c r="J890" s="3" t="s">
        <v>612</v>
      </c>
      <c r="K890" s="3" t="s">
        <v>4106</v>
      </c>
      <c r="L890" s="3" t="s">
        <v>118</v>
      </c>
      <c r="M890" s="3" t="s">
        <v>4107</v>
      </c>
      <c r="N890" s="3" t="s">
        <v>4108</v>
      </c>
      <c r="O890" s="3" t="s">
        <v>4109</v>
      </c>
      <c r="P890" s="3" t="s">
        <v>25</v>
      </c>
      <c r="Q890" s="3" t="s">
        <v>5505</v>
      </c>
    </row>
    <row r="891" spans="1:17">
      <c r="A891" s="3">
        <v>4799455</v>
      </c>
      <c r="B891" s="3" t="s">
        <v>4110</v>
      </c>
      <c r="C891" s="3" t="str">
        <f>"9780198754787"</f>
        <v>9780198754787</v>
      </c>
      <c r="D891" s="3" t="str">
        <f>"9780191070792"</f>
        <v>9780191070792</v>
      </c>
      <c r="E891" s="3" t="s">
        <v>910</v>
      </c>
      <c r="F891" s="3" t="s">
        <v>910</v>
      </c>
      <c r="G891" s="4">
        <v>42864</v>
      </c>
      <c r="H891" s="3" t="s">
        <v>20</v>
      </c>
      <c r="I891" s="3">
        <v>3</v>
      </c>
      <c r="J891" s="3" t="s">
        <v>3825</v>
      </c>
      <c r="K891" s="3" t="s">
        <v>4111</v>
      </c>
      <c r="L891" s="3" t="s">
        <v>204</v>
      </c>
      <c r="M891" s="3" t="s">
        <v>4112</v>
      </c>
      <c r="N891" s="3">
        <v>618.20000000000005</v>
      </c>
      <c r="O891" s="3" t="s">
        <v>4113</v>
      </c>
      <c r="P891" s="3" t="s">
        <v>25</v>
      </c>
      <c r="Q891" s="3" t="s">
        <v>5506</v>
      </c>
    </row>
    <row r="892" spans="1:17">
      <c r="A892" s="3">
        <v>4807025</v>
      </c>
      <c r="B892" s="3" t="s">
        <v>4114</v>
      </c>
      <c r="C892" s="3" t="str">
        <f>"9781632650825"</f>
        <v>9781632650825</v>
      </c>
      <c r="D892" s="3" t="str">
        <f>"9781632659217"</f>
        <v>9781632659217</v>
      </c>
      <c r="E892" s="3" t="s">
        <v>4115</v>
      </c>
      <c r="F892" s="3" t="s">
        <v>4116</v>
      </c>
      <c r="G892" s="4">
        <v>42870</v>
      </c>
      <c r="H892" s="3" t="s">
        <v>20</v>
      </c>
      <c r="I892" s="3">
        <v>2</v>
      </c>
      <c r="J892" s="3"/>
      <c r="K892" s="3" t="s">
        <v>4117</v>
      </c>
      <c r="L892" s="3" t="s">
        <v>532</v>
      </c>
      <c r="M892" s="3" t="s">
        <v>4118</v>
      </c>
      <c r="N892" s="3">
        <v>378.30973</v>
      </c>
      <c r="O892" s="3" t="s">
        <v>4119</v>
      </c>
      <c r="P892" s="3" t="s">
        <v>25</v>
      </c>
      <c r="Q892" s="3" t="s">
        <v>5507</v>
      </c>
    </row>
    <row r="893" spans="1:17">
      <c r="A893" s="3">
        <v>4807035</v>
      </c>
      <c r="B893" s="3" t="s">
        <v>4120</v>
      </c>
      <c r="C893" s="3" t="str">
        <f>"9781632650917"</f>
        <v>9781632650917</v>
      </c>
      <c r="D893" s="3" t="str">
        <f>"9781632659125"</f>
        <v>9781632659125</v>
      </c>
      <c r="E893" s="3" t="s">
        <v>4115</v>
      </c>
      <c r="F893" s="3" t="s">
        <v>4116</v>
      </c>
      <c r="G893" s="4">
        <v>42842</v>
      </c>
      <c r="H893" s="3" t="s">
        <v>20</v>
      </c>
      <c r="I893" s="3"/>
      <c r="J893" s="3"/>
      <c r="K893" s="3" t="s">
        <v>4121</v>
      </c>
      <c r="L893" s="3" t="s">
        <v>504</v>
      </c>
      <c r="M893" s="3" t="s">
        <v>4122</v>
      </c>
      <c r="N893" s="3">
        <v>428.2</v>
      </c>
      <c r="O893" s="3" t="s">
        <v>4123</v>
      </c>
      <c r="P893" s="3" t="s">
        <v>25</v>
      </c>
      <c r="Q893" s="3" t="s">
        <v>5508</v>
      </c>
    </row>
    <row r="894" spans="1:17">
      <c r="A894" s="3">
        <v>4812552</v>
      </c>
      <c r="B894" s="3" t="s">
        <v>4124</v>
      </c>
      <c r="C894" s="3" t="str">
        <f>"9789004099449"</f>
        <v>9789004099449</v>
      </c>
      <c r="D894" s="3" t="str">
        <f>"9789004217614"</f>
        <v>9789004217614</v>
      </c>
      <c r="E894" s="3" t="s">
        <v>611</v>
      </c>
      <c r="F894" s="3" t="s">
        <v>611</v>
      </c>
      <c r="G894" s="4">
        <v>35674</v>
      </c>
      <c r="H894" s="3" t="s">
        <v>20</v>
      </c>
      <c r="I894" s="3">
        <v>1</v>
      </c>
      <c r="J894" s="3" t="s">
        <v>4125</v>
      </c>
      <c r="K894" s="3" t="s">
        <v>4126</v>
      </c>
      <c r="L894" s="3" t="s">
        <v>22</v>
      </c>
      <c r="M894" s="3"/>
      <c r="N894" s="3" t="s">
        <v>4127</v>
      </c>
      <c r="O894" s="3"/>
      <c r="P894" s="3" t="s">
        <v>25</v>
      </c>
      <c r="Q894" s="3" t="s">
        <v>5509</v>
      </c>
    </row>
    <row r="895" spans="1:17">
      <c r="A895" s="3">
        <v>4819724</v>
      </c>
      <c r="B895" s="3" t="s">
        <v>4128</v>
      </c>
      <c r="C895" s="3" t="str">
        <f>"9781626259317"</f>
        <v>9781626259317</v>
      </c>
      <c r="D895" s="3" t="str">
        <f>"9781626259324"</f>
        <v>9781626259324</v>
      </c>
      <c r="E895" s="3" t="s">
        <v>4129</v>
      </c>
      <c r="F895" s="3" t="s">
        <v>4129</v>
      </c>
      <c r="G895" s="4">
        <v>43146</v>
      </c>
      <c r="H895" s="3" t="s">
        <v>20</v>
      </c>
      <c r="I895" s="3">
        <v>1</v>
      </c>
      <c r="J895" s="3"/>
      <c r="K895" s="3" t="s">
        <v>4130</v>
      </c>
      <c r="L895" s="3" t="s">
        <v>317</v>
      </c>
      <c r="M895" s="3" t="s">
        <v>4131</v>
      </c>
      <c r="N895" s="3">
        <v>616.89142000000004</v>
      </c>
      <c r="O895" s="3" t="s">
        <v>4132</v>
      </c>
      <c r="P895" s="3" t="s">
        <v>25</v>
      </c>
      <c r="Q895" s="3" t="s">
        <v>5510</v>
      </c>
    </row>
    <row r="896" spans="1:17">
      <c r="A896" s="3">
        <v>4838367</v>
      </c>
      <c r="B896" s="3" t="s">
        <v>4133</v>
      </c>
      <c r="C896" s="3" t="str">
        <f>"9781575912080"</f>
        <v>9781575912080</v>
      </c>
      <c r="D896" s="3" t="str">
        <f>"9781575912097"</f>
        <v>9781575912097</v>
      </c>
      <c r="E896" s="3" t="s">
        <v>4134</v>
      </c>
      <c r="F896" s="3" t="s">
        <v>4135</v>
      </c>
      <c r="G896" s="4">
        <v>42612</v>
      </c>
      <c r="H896" s="3" t="s">
        <v>20</v>
      </c>
      <c r="I896" s="3">
        <v>1</v>
      </c>
      <c r="J896" s="3"/>
      <c r="K896" s="3" t="s">
        <v>4136</v>
      </c>
      <c r="L896" s="3" t="s">
        <v>616</v>
      </c>
      <c r="M896" s="3" t="s">
        <v>4137</v>
      </c>
      <c r="N896" s="3">
        <v>2</v>
      </c>
      <c r="O896" s="3" t="s">
        <v>4138</v>
      </c>
      <c r="P896" s="3" t="s">
        <v>25</v>
      </c>
      <c r="Q896" s="3" t="s">
        <v>5511</v>
      </c>
    </row>
    <row r="897" spans="1:17">
      <c r="A897" s="3">
        <v>4855360</v>
      </c>
      <c r="B897" s="3" t="s">
        <v>4139</v>
      </c>
      <c r="C897" s="3" t="str">
        <f>"9780786497560"</f>
        <v>9780786497560</v>
      </c>
      <c r="D897" s="3" t="str">
        <f>"9780786491537"</f>
        <v>9780786491537</v>
      </c>
      <c r="E897" s="3" t="s">
        <v>828</v>
      </c>
      <c r="F897" s="3" t="s">
        <v>828</v>
      </c>
      <c r="G897" s="4">
        <v>41936</v>
      </c>
      <c r="H897" s="3" t="s">
        <v>20</v>
      </c>
      <c r="I897" s="3">
        <v>1</v>
      </c>
      <c r="J897" s="3"/>
      <c r="K897" s="3" t="s">
        <v>3137</v>
      </c>
      <c r="L897" s="3" t="s">
        <v>4140</v>
      </c>
      <c r="M897" s="3" t="s">
        <v>4141</v>
      </c>
      <c r="N897" s="3" t="s">
        <v>4142</v>
      </c>
      <c r="O897" s="3" t="s">
        <v>4143</v>
      </c>
      <c r="P897" s="3" t="s">
        <v>25</v>
      </c>
      <c r="Q897" s="3" t="s">
        <v>5512</v>
      </c>
    </row>
    <row r="898" spans="1:17">
      <c r="A898" s="3">
        <v>4857936</v>
      </c>
      <c r="B898" s="3" t="s">
        <v>4144</v>
      </c>
      <c r="C898" s="3" t="str">
        <f>"9781443873307"</f>
        <v>9781443873307</v>
      </c>
      <c r="D898" s="3" t="str">
        <f>"9781443891509"</f>
        <v>9781443891509</v>
      </c>
      <c r="E898" s="3" t="s">
        <v>4145</v>
      </c>
      <c r="F898" s="3" t="s">
        <v>4145</v>
      </c>
      <c r="G898" s="4">
        <v>42825</v>
      </c>
      <c r="H898" s="3" t="s">
        <v>20</v>
      </c>
      <c r="I898" s="3">
        <v>1</v>
      </c>
      <c r="J898" s="3"/>
      <c r="K898" s="3" t="s">
        <v>4146</v>
      </c>
      <c r="L898" s="3" t="s">
        <v>64</v>
      </c>
      <c r="M898" s="3" t="s">
        <v>4147</v>
      </c>
      <c r="N898" s="3">
        <v>398.05</v>
      </c>
      <c r="O898" s="3" t="s">
        <v>4148</v>
      </c>
      <c r="P898" s="3" t="s">
        <v>25</v>
      </c>
      <c r="Q898" s="3" t="s">
        <v>5513</v>
      </c>
    </row>
    <row r="899" spans="1:17">
      <c r="A899" s="3">
        <v>4859147</v>
      </c>
      <c r="B899" s="3" t="s">
        <v>4149</v>
      </c>
      <c r="C899" s="3" t="str">
        <f>"9780802872326"</f>
        <v>9780802872326</v>
      </c>
      <c r="D899" s="3" t="str">
        <f>"9781467443258"</f>
        <v>9781467443258</v>
      </c>
      <c r="E899" s="3" t="s">
        <v>4150</v>
      </c>
      <c r="F899" s="3" t="s">
        <v>4150</v>
      </c>
      <c r="G899" s="4">
        <v>42050</v>
      </c>
      <c r="H899" s="3" t="s">
        <v>20</v>
      </c>
      <c r="I899" s="3"/>
      <c r="J899" s="3"/>
      <c r="K899" s="3" t="s">
        <v>4151</v>
      </c>
      <c r="L899" s="3" t="s">
        <v>118</v>
      </c>
      <c r="M899" s="3" t="s">
        <v>4152</v>
      </c>
      <c r="N899" s="3">
        <v>230.03</v>
      </c>
      <c r="O899" s="3" t="s">
        <v>4153</v>
      </c>
      <c r="P899" s="3" t="s">
        <v>25</v>
      </c>
      <c r="Q899" s="3" t="s">
        <v>5514</v>
      </c>
    </row>
    <row r="900" spans="1:17">
      <c r="A900" s="3">
        <v>4865227</v>
      </c>
      <c r="B900" s="3" t="s">
        <v>4154</v>
      </c>
      <c r="C900" s="3" t="str">
        <f>"9781563681301"</f>
        <v>9781563681301</v>
      </c>
      <c r="D900" s="3" t="str">
        <f>"9781563681820"</f>
        <v>9781563681820</v>
      </c>
      <c r="E900" s="3" t="s">
        <v>4155</v>
      </c>
      <c r="F900" s="3" t="s">
        <v>4155</v>
      </c>
      <c r="G900" s="4">
        <v>37524</v>
      </c>
      <c r="H900" s="3" t="s">
        <v>20</v>
      </c>
      <c r="I900" s="3">
        <v>1</v>
      </c>
      <c r="J900" s="3"/>
      <c r="K900" s="3" t="s">
        <v>4156</v>
      </c>
      <c r="L900" s="3" t="s">
        <v>1205</v>
      </c>
      <c r="M900" s="3" t="s">
        <v>4157</v>
      </c>
      <c r="N900" s="3">
        <v>419.7</v>
      </c>
      <c r="O900" s="3" t="s">
        <v>4158</v>
      </c>
      <c r="P900" s="3" t="s">
        <v>25</v>
      </c>
      <c r="Q900" s="3" t="s">
        <v>5515</v>
      </c>
    </row>
    <row r="901" spans="1:17">
      <c r="A901" s="3">
        <v>4867986</v>
      </c>
      <c r="B901" s="3" t="s">
        <v>4159</v>
      </c>
      <c r="C901" s="3" t="str">
        <f>"9789050115964"</f>
        <v>9789050115964</v>
      </c>
      <c r="D901" s="3" t="str">
        <f>"9789004343788"</f>
        <v>9789004343788</v>
      </c>
      <c r="E901" s="3" t="s">
        <v>4160</v>
      </c>
      <c r="F901" s="3" t="s">
        <v>4160</v>
      </c>
      <c r="G901" s="4">
        <v>42752</v>
      </c>
      <c r="H901" s="3" t="s">
        <v>20</v>
      </c>
      <c r="I901" s="3">
        <v>1</v>
      </c>
      <c r="J901" s="3"/>
      <c r="K901" s="3" t="s">
        <v>4161</v>
      </c>
      <c r="L901" s="3" t="s">
        <v>616</v>
      </c>
      <c r="M901" s="3"/>
      <c r="N901" s="3"/>
      <c r="O901" s="3"/>
      <c r="P901" s="3" t="s">
        <v>25</v>
      </c>
      <c r="Q901" s="3" t="s">
        <v>5516</v>
      </c>
    </row>
    <row r="902" spans="1:17">
      <c r="A902" s="3">
        <v>4870992</v>
      </c>
      <c r="B902" s="3" t="s">
        <v>4162</v>
      </c>
      <c r="C902" s="3" t="str">
        <f>""</f>
        <v/>
      </c>
      <c r="D902" s="3" t="str">
        <f>"9781846748875"</f>
        <v>9781846748875</v>
      </c>
      <c r="E902" s="3" t="s">
        <v>3132</v>
      </c>
      <c r="F902" s="3" t="s">
        <v>3132</v>
      </c>
      <c r="G902" s="4">
        <v>38600</v>
      </c>
      <c r="H902" s="3" t="s">
        <v>20</v>
      </c>
      <c r="I902" s="3">
        <v>1</v>
      </c>
      <c r="J902" s="3"/>
      <c r="K902" s="3" t="s">
        <v>4163</v>
      </c>
      <c r="L902" s="3" t="s">
        <v>58</v>
      </c>
      <c r="M902" s="3"/>
      <c r="N902" s="3"/>
      <c r="O902" s="3"/>
      <c r="P902" s="3" t="s">
        <v>25</v>
      </c>
      <c r="Q902" s="3" t="s">
        <v>5517</v>
      </c>
    </row>
    <row r="903" spans="1:17">
      <c r="A903" s="3">
        <v>4876937</v>
      </c>
      <c r="B903" s="3" t="s">
        <v>4164</v>
      </c>
      <c r="C903" s="3" t="str">
        <f>"9781423225959"</f>
        <v>9781423225959</v>
      </c>
      <c r="D903" s="3" t="str">
        <f>"9781423228394"</f>
        <v>9781423228394</v>
      </c>
      <c r="E903" s="3" t="s">
        <v>4165</v>
      </c>
      <c r="F903" s="3" t="s">
        <v>4166</v>
      </c>
      <c r="G903" s="4">
        <v>42155</v>
      </c>
      <c r="H903" s="3" t="s">
        <v>20</v>
      </c>
      <c r="I903" s="3"/>
      <c r="J903" s="3"/>
      <c r="K903" s="3" t="s">
        <v>4167</v>
      </c>
      <c r="L903" s="3" t="s">
        <v>532</v>
      </c>
      <c r="M903" s="3" t="s">
        <v>4168</v>
      </c>
      <c r="N903" s="3">
        <v>378.10570951</v>
      </c>
      <c r="O903" s="3" t="s">
        <v>4169</v>
      </c>
      <c r="P903" s="3" t="s">
        <v>25</v>
      </c>
      <c r="Q903" s="3" t="s">
        <v>5518</v>
      </c>
    </row>
    <row r="904" spans="1:17">
      <c r="A904" s="3">
        <v>4876938</v>
      </c>
      <c r="B904" s="3" t="s">
        <v>4170</v>
      </c>
      <c r="C904" s="3" t="str">
        <f>"9781423225355"</f>
        <v>9781423225355</v>
      </c>
      <c r="D904" s="3" t="str">
        <f>"9781423228370"</f>
        <v>9781423228370</v>
      </c>
      <c r="E904" s="3" t="s">
        <v>4171</v>
      </c>
      <c r="F904" s="3" t="s">
        <v>4172</v>
      </c>
      <c r="G904" s="4">
        <v>43221</v>
      </c>
      <c r="H904" s="3" t="s">
        <v>20</v>
      </c>
      <c r="I904" s="3"/>
      <c r="J904" s="3"/>
      <c r="K904" s="3" t="s">
        <v>4173</v>
      </c>
      <c r="L904" s="3" t="s">
        <v>22</v>
      </c>
      <c r="M904" s="3" t="s">
        <v>4174</v>
      </c>
      <c r="N904" s="3">
        <v>808.02702855359996</v>
      </c>
      <c r="O904" s="3" t="s">
        <v>4175</v>
      </c>
      <c r="P904" s="3" t="s">
        <v>25</v>
      </c>
      <c r="Q904" s="3" t="s">
        <v>5519</v>
      </c>
    </row>
    <row r="905" spans="1:17">
      <c r="A905" s="3">
        <v>4876944</v>
      </c>
      <c r="B905" s="3" t="s">
        <v>4176</v>
      </c>
      <c r="C905" s="3" t="str">
        <f>"9781423225331"</f>
        <v>9781423225331</v>
      </c>
      <c r="D905" s="3" t="str">
        <f>"9781423228264"</f>
        <v>9781423228264</v>
      </c>
      <c r="E905" s="3" t="s">
        <v>4171</v>
      </c>
      <c r="F905" s="3" t="s">
        <v>4172</v>
      </c>
      <c r="G905" s="4">
        <v>40147</v>
      </c>
      <c r="H905" s="3" t="s">
        <v>20</v>
      </c>
      <c r="I905" s="3"/>
      <c r="J905" s="3"/>
      <c r="K905" s="3" t="s">
        <v>4173</v>
      </c>
      <c r="L905" s="3" t="s">
        <v>1367</v>
      </c>
      <c r="M905" s="3" t="s">
        <v>4177</v>
      </c>
      <c r="N905" s="3">
        <v>808.02</v>
      </c>
      <c r="O905" s="3" t="s">
        <v>4178</v>
      </c>
      <c r="P905" s="3" t="s">
        <v>25</v>
      </c>
      <c r="Q905" s="3" t="s">
        <v>5520</v>
      </c>
    </row>
    <row r="906" spans="1:17">
      <c r="A906" s="3">
        <v>4877395</v>
      </c>
      <c r="B906" s="3" t="s">
        <v>4179</v>
      </c>
      <c r="C906" s="3" t="str">
        <f>"9781572227880"</f>
        <v>9781572227880</v>
      </c>
      <c r="D906" s="3" t="str">
        <f>"9781423201946"</f>
        <v>9781423201946</v>
      </c>
      <c r="E906" s="3" t="s">
        <v>4171</v>
      </c>
      <c r="F906" s="3" t="s">
        <v>4172</v>
      </c>
      <c r="G906" s="4">
        <v>37766</v>
      </c>
      <c r="H906" s="3" t="s">
        <v>20</v>
      </c>
      <c r="I906" s="3"/>
      <c r="J906" s="3" t="s">
        <v>4180</v>
      </c>
      <c r="K906" s="3" t="s">
        <v>4181</v>
      </c>
      <c r="L906" s="3" t="s">
        <v>504</v>
      </c>
      <c r="M906" s="3" t="s">
        <v>4182</v>
      </c>
      <c r="N906" s="3">
        <v>421.52</v>
      </c>
      <c r="O906" s="3" t="s">
        <v>4183</v>
      </c>
      <c r="P906" s="3" t="s">
        <v>25</v>
      </c>
      <c r="Q906" s="3" t="s">
        <v>5521</v>
      </c>
    </row>
    <row r="907" spans="1:17">
      <c r="A907" s="3">
        <v>4908623</v>
      </c>
      <c r="B907" s="3" t="s">
        <v>3641</v>
      </c>
      <c r="C907" s="3" t="str">
        <f>"9781760461256"</f>
        <v>9781760461256</v>
      </c>
      <c r="D907" s="3" t="str">
        <f>"9781760461263"</f>
        <v>9781760461263</v>
      </c>
      <c r="E907" s="3" t="s">
        <v>3637</v>
      </c>
      <c r="F907" s="3" t="s">
        <v>3637</v>
      </c>
      <c r="G907" s="4">
        <v>42860</v>
      </c>
      <c r="H907" s="3" t="s">
        <v>20</v>
      </c>
      <c r="I907" s="3">
        <v>4</v>
      </c>
      <c r="J907" s="3" t="s">
        <v>4184</v>
      </c>
      <c r="K907" s="3" t="s">
        <v>3642</v>
      </c>
      <c r="L907" s="3" t="s">
        <v>58</v>
      </c>
      <c r="M907" s="3" t="s">
        <v>4185</v>
      </c>
      <c r="N907" s="3">
        <v>920.02</v>
      </c>
      <c r="O907" s="3" t="s">
        <v>4186</v>
      </c>
      <c r="P907" s="3" t="s">
        <v>25</v>
      </c>
      <c r="Q907" s="3" t="s">
        <v>5522</v>
      </c>
    </row>
    <row r="908" spans="1:17">
      <c r="A908" s="3">
        <v>4909986</v>
      </c>
      <c r="B908" s="3" t="s">
        <v>4187</v>
      </c>
      <c r="C908" s="3" t="str">
        <f>"9780877796336"</f>
        <v>9780877796336</v>
      </c>
      <c r="D908" s="3" t="str">
        <f>"9780877797975"</f>
        <v>9780877797975</v>
      </c>
      <c r="E908" s="3" t="s">
        <v>4188</v>
      </c>
      <c r="F908" s="3" t="s">
        <v>4189</v>
      </c>
      <c r="G908" s="4">
        <v>37371</v>
      </c>
      <c r="H908" s="3" t="s">
        <v>20</v>
      </c>
      <c r="I908" s="3">
        <v>1</v>
      </c>
      <c r="J908" s="3"/>
      <c r="K908" s="3" t="s">
        <v>4189</v>
      </c>
      <c r="L908" s="3" t="s">
        <v>504</v>
      </c>
      <c r="M908" s="3" t="s">
        <v>4190</v>
      </c>
      <c r="N908" s="3">
        <v>423.1</v>
      </c>
      <c r="O908" s="3" t="s">
        <v>3147</v>
      </c>
      <c r="P908" s="3" t="s">
        <v>25</v>
      </c>
      <c r="Q908" s="3" t="s">
        <v>5523</v>
      </c>
    </row>
    <row r="909" spans="1:17">
      <c r="A909" s="3">
        <v>4935583</v>
      </c>
      <c r="B909" s="3" t="s">
        <v>4191</v>
      </c>
      <c r="C909" s="3" t="str">
        <f>"9781945612428"</f>
        <v>9781945612428</v>
      </c>
      <c r="D909" s="3" t="str">
        <f>"9781945612435"</f>
        <v>9781945612435</v>
      </c>
      <c r="E909" s="3" t="s">
        <v>4192</v>
      </c>
      <c r="F909" s="3" t="s">
        <v>4192</v>
      </c>
      <c r="G909" s="4">
        <v>42795</v>
      </c>
      <c r="H909" s="3" t="s">
        <v>20</v>
      </c>
      <c r="I909" s="3">
        <v>1</v>
      </c>
      <c r="J909" s="3"/>
      <c r="K909" s="3" t="s">
        <v>4193</v>
      </c>
      <c r="L909" s="3" t="s">
        <v>204</v>
      </c>
      <c r="M909" s="3" t="s">
        <v>4194</v>
      </c>
      <c r="N909" s="3">
        <v>610.28</v>
      </c>
      <c r="O909" s="3" t="s">
        <v>4195</v>
      </c>
      <c r="P909" s="3" t="s">
        <v>25</v>
      </c>
      <c r="Q909" s="3" t="s">
        <v>5524</v>
      </c>
    </row>
    <row r="910" spans="1:17">
      <c r="A910" s="3">
        <v>4947022</v>
      </c>
      <c r="B910" s="3" t="s">
        <v>4196</v>
      </c>
      <c r="C910" s="3" t="str">
        <f>"9780826133045"</f>
        <v>9780826133045</v>
      </c>
      <c r="D910" s="3" t="str">
        <f>"9780826133052"</f>
        <v>9780826133052</v>
      </c>
      <c r="E910" s="3" t="s">
        <v>496</v>
      </c>
      <c r="F910" s="3" t="s">
        <v>496</v>
      </c>
      <c r="G910" s="4">
        <v>42917</v>
      </c>
      <c r="H910" s="3" t="s">
        <v>20</v>
      </c>
      <c r="I910" s="3">
        <v>4</v>
      </c>
      <c r="J910" s="3"/>
      <c r="K910" s="3" t="s">
        <v>4197</v>
      </c>
      <c r="L910" s="3" t="s">
        <v>2276</v>
      </c>
      <c r="M910" s="3" t="s">
        <v>4198</v>
      </c>
      <c r="N910" s="3">
        <v>610.73072000000002</v>
      </c>
      <c r="O910" s="3" t="s">
        <v>4199</v>
      </c>
      <c r="P910" s="3" t="s">
        <v>25</v>
      </c>
      <c r="Q910" s="3" t="s">
        <v>5525</v>
      </c>
    </row>
    <row r="911" spans="1:17">
      <c r="A911" s="3">
        <v>4985939</v>
      </c>
      <c r="B911" s="3" t="s">
        <v>4200</v>
      </c>
      <c r="C911" s="3" t="str">
        <f>"9780252087240"</f>
        <v>9780252087240</v>
      </c>
      <c r="D911" s="3" t="str">
        <f>"9780252099779"</f>
        <v>9780252099779</v>
      </c>
      <c r="E911" s="3" t="s">
        <v>3604</v>
      </c>
      <c r="F911" s="3" t="s">
        <v>3604</v>
      </c>
      <c r="G911" s="4">
        <v>42963</v>
      </c>
      <c r="H911" s="3" t="s">
        <v>20</v>
      </c>
      <c r="I911" s="3">
        <v>1</v>
      </c>
      <c r="J911" s="3" t="s">
        <v>4201</v>
      </c>
      <c r="K911" s="3" t="s">
        <v>4202</v>
      </c>
      <c r="L911" s="3" t="s">
        <v>4203</v>
      </c>
      <c r="M911" s="3" t="s">
        <v>4204</v>
      </c>
      <c r="N911" s="3">
        <v>664.00973109999904</v>
      </c>
      <c r="O911" s="3" t="s">
        <v>4205</v>
      </c>
      <c r="P911" s="3" t="s">
        <v>25</v>
      </c>
      <c r="Q911" s="3" t="s">
        <v>5526</v>
      </c>
    </row>
    <row r="912" spans="1:17">
      <c r="A912" s="3">
        <v>5024420</v>
      </c>
      <c r="B912" s="3" t="s">
        <v>4206</v>
      </c>
      <c r="C912" s="3" t="str">
        <f>"9789004334618"</f>
        <v>9789004334618</v>
      </c>
      <c r="D912" s="3" t="str">
        <f>"9789004334625"</f>
        <v>9789004334625</v>
      </c>
      <c r="E912" s="3" t="s">
        <v>611</v>
      </c>
      <c r="F912" s="3" t="s">
        <v>611</v>
      </c>
      <c r="G912" s="4">
        <v>42963</v>
      </c>
      <c r="H912" s="3" t="s">
        <v>20</v>
      </c>
      <c r="I912" s="3">
        <v>1</v>
      </c>
      <c r="J912" s="3" t="s">
        <v>612</v>
      </c>
      <c r="K912" s="3" t="s">
        <v>4059</v>
      </c>
      <c r="L912" s="3" t="s">
        <v>22</v>
      </c>
      <c r="M912" s="3"/>
      <c r="N912" s="3" t="s">
        <v>4060</v>
      </c>
      <c r="O912" s="3"/>
      <c r="P912" s="3" t="s">
        <v>25</v>
      </c>
      <c r="Q912" s="3" t="s">
        <v>5527</v>
      </c>
    </row>
    <row r="913" spans="1:17">
      <c r="A913" s="3">
        <v>5089203</v>
      </c>
      <c r="B913" s="3" t="s">
        <v>4207</v>
      </c>
      <c r="C913" s="3" t="str">
        <f>"9781631579165"</f>
        <v>9781631579165</v>
      </c>
      <c r="D913" s="3" t="str">
        <f>"9781631579172"</f>
        <v>9781631579172</v>
      </c>
      <c r="E913" s="3" t="s">
        <v>4089</v>
      </c>
      <c r="F913" s="3" t="s">
        <v>4089</v>
      </c>
      <c r="G913" s="4">
        <v>43008</v>
      </c>
      <c r="H913" s="3" t="s">
        <v>20</v>
      </c>
      <c r="I913" s="3">
        <v>1</v>
      </c>
      <c r="J913" s="3"/>
      <c r="K913" s="3" t="s">
        <v>4208</v>
      </c>
      <c r="L913" s="3" t="s">
        <v>354</v>
      </c>
      <c r="M913" s="3" t="s">
        <v>4209</v>
      </c>
      <c r="N913" s="3">
        <v>344.40100000000001</v>
      </c>
      <c r="O913" s="3" t="s">
        <v>4210</v>
      </c>
      <c r="P913" s="3" t="s">
        <v>25</v>
      </c>
      <c r="Q913" s="3" t="s">
        <v>5528</v>
      </c>
    </row>
    <row r="914" spans="1:17">
      <c r="A914" s="3">
        <v>5100745</v>
      </c>
      <c r="B914" s="3" t="s">
        <v>4211</v>
      </c>
      <c r="C914" s="3" t="str">
        <f>"9789004356887"</f>
        <v>9789004356887</v>
      </c>
      <c r="D914" s="3" t="str">
        <f>"9789004356894"</f>
        <v>9789004356894</v>
      </c>
      <c r="E914" s="3" t="s">
        <v>611</v>
      </c>
      <c r="F914" s="3" t="s">
        <v>611</v>
      </c>
      <c r="G914" s="4">
        <v>43028</v>
      </c>
      <c r="H914" s="3" t="s">
        <v>20</v>
      </c>
      <c r="I914" s="3">
        <v>1</v>
      </c>
      <c r="J914" s="3" t="s">
        <v>4212</v>
      </c>
      <c r="K914" s="3" t="s">
        <v>4213</v>
      </c>
      <c r="L914" s="3" t="s">
        <v>622</v>
      </c>
      <c r="M914" s="3" t="s">
        <v>4214</v>
      </c>
      <c r="N914" s="3">
        <v>335.83</v>
      </c>
      <c r="O914" s="3" t="s">
        <v>4215</v>
      </c>
      <c r="P914" s="3" t="s">
        <v>25</v>
      </c>
      <c r="Q914" s="3" t="s">
        <v>5529</v>
      </c>
    </row>
    <row r="915" spans="1:17">
      <c r="A915" s="3">
        <v>5118016</v>
      </c>
      <c r="B915" s="3" t="s">
        <v>4216</v>
      </c>
      <c r="C915" s="3" t="str">
        <f>"9781945612466"</f>
        <v>9781945612466</v>
      </c>
      <c r="D915" s="3" t="str">
        <f>"9781945612473"</f>
        <v>9781945612473</v>
      </c>
      <c r="E915" s="3" t="s">
        <v>4192</v>
      </c>
      <c r="F915" s="3" t="s">
        <v>4192</v>
      </c>
      <c r="G915" s="4">
        <v>42948</v>
      </c>
      <c r="H915" s="3" t="s">
        <v>20</v>
      </c>
      <c r="I915" s="3">
        <v>1</v>
      </c>
      <c r="J915" s="3"/>
      <c r="K915" s="3" t="s">
        <v>4217</v>
      </c>
      <c r="L915" s="3" t="s">
        <v>4218</v>
      </c>
      <c r="M915" s="3"/>
      <c r="N915" s="3"/>
      <c r="O915" s="3"/>
      <c r="P915" s="3" t="s">
        <v>25</v>
      </c>
      <c r="Q915" s="3" t="s">
        <v>5530</v>
      </c>
    </row>
    <row r="916" spans="1:17">
      <c r="A916" s="3">
        <v>5173463</v>
      </c>
      <c r="B916" s="3" t="s">
        <v>4219</v>
      </c>
      <c r="C916" s="3" t="str">
        <f>"9781631578472"</f>
        <v>9781631578472</v>
      </c>
      <c r="D916" s="3" t="str">
        <f>"9781631578489"</f>
        <v>9781631578489</v>
      </c>
      <c r="E916" s="3" t="s">
        <v>4089</v>
      </c>
      <c r="F916" s="3" t="s">
        <v>4089</v>
      </c>
      <c r="G916" s="4">
        <v>43069</v>
      </c>
      <c r="H916" s="3" t="s">
        <v>20</v>
      </c>
      <c r="I916" s="3">
        <v>1</v>
      </c>
      <c r="J916" s="3"/>
      <c r="K916" s="3" t="s">
        <v>4220</v>
      </c>
      <c r="L916" s="3" t="s">
        <v>649</v>
      </c>
      <c r="M916" s="3" t="s">
        <v>4221</v>
      </c>
      <c r="N916" s="3">
        <v>332.10687999999902</v>
      </c>
      <c r="O916" s="3" t="s">
        <v>4222</v>
      </c>
      <c r="P916" s="3" t="s">
        <v>25</v>
      </c>
      <c r="Q916" s="3" t="s">
        <v>5531</v>
      </c>
    </row>
    <row r="917" spans="1:17">
      <c r="A917" s="3">
        <v>5177862</v>
      </c>
      <c r="B917" s="3" t="s">
        <v>4223</v>
      </c>
      <c r="C917" s="3" t="str">
        <f>"9780826132345"</f>
        <v>9780826132345</v>
      </c>
      <c r="D917" s="3" t="str">
        <f>"9780826132444"</f>
        <v>9780826132444</v>
      </c>
      <c r="E917" s="3" t="s">
        <v>496</v>
      </c>
      <c r="F917" s="3" t="s">
        <v>496</v>
      </c>
      <c r="G917" s="4">
        <v>43009</v>
      </c>
      <c r="H917" s="3" t="s">
        <v>20</v>
      </c>
      <c r="I917" s="3">
        <v>1</v>
      </c>
      <c r="J917" s="3"/>
      <c r="K917" s="3" t="s">
        <v>4224</v>
      </c>
      <c r="L917" s="3" t="s">
        <v>2276</v>
      </c>
      <c r="M917" s="3" t="s">
        <v>4225</v>
      </c>
      <c r="N917" s="3">
        <v>610.73</v>
      </c>
      <c r="O917" s="3" t="s">
        <v>4226</v>
      </c>
      <c r="P917" s="3" t="s">
        <v>25</v>
      </c>
      <c r="Q917" s="3" t="s">
        <v>5532</v>
      </c>
    </row>
    <row r="918" spans="1:17">
      <c r="A918" s="3">
        <v>5181124</v>
      </c>
      <c r="B918" s="3" t="s">
        <v>4227</v>
      </c>
      <c r="C918" s="3" t="str">
        <f>"9780826140524"</f>
        <v>9780826140524</v>
      </c>
      <c r="D918" s="3" t="str">
        <f>"9780826140531"</f>
        <v>9780826140531</v>
      </c>
      <c r="E918" s="3" t="s">
        <v>496</v>
      </c>
      <c r="F918" s="3" t="s">
        <v>496</v>
      </c>
      <c r="G918" s="4">
        <v>43067</v>
      </c>
      <c r="H918" s="3" t="s">
        <v>20</v>
      </c>
      <c r="I918" s="3">
        <v>4</v>
      </c>
      <c r="J918" s="3"/>
      <c r="K918" s="3" t="s">
        <v>4228</v>
      </c>
      <c r="L918" s="3" t="s">
        <v>64</v>
      </c>
      <c r="M918" s="3" t="s">
        <v>4229</v>
      </c>
      <c r="N918" s="3">
        <v>362.60973030000002</v>
      </c>
      <c r="O918" s="3" t="s">
        <v>4230</v>
      </c>
      <c r="P918" s="3" t="s">
        <v>25</v>
      </c>
      <c r="Q918" s="3" t="s">
        <v>5533</v>
      </c>
    </row>
    <row r="919" spans="1:17">
      <c r="A919" s="3">
        <v>5192499</v>
      </c>
      <c r="B919" s="3" t="s">
        <v>4231</v>
      </c>
      <c r="C919" s="3" t="str">
        <f>"9789004335806"</f>
        <v>9789004335806</v>
      </c>
      <c r="D919" s="3" t="str">
        <f>"9789004356443"</f>
        <v>9789004356443</v>
      </c>
      <c r="E919" s="3" t="s">
        <v>611</v>
      </c>
      <c r="F919" s="3" t="s">
        <v>611</v>
      </c>
      <c r="G919" s="4">
        <v>43055</v>
      </c>
      <c r="H919" s="3" t="s">
        <v>20</v>
      </c>
      <c r="I919" s="3">
        <v>1</v>
      </c>
      <c r="J919" s="3" t="s">
        <v>612</v>
      </c>
      <c r="K919" s="3" t="s">
        <v>4059</v>
      </c>
      <c r="L919" s="3" t="s">
        <v>22</v>
      </c>
      <c r="M919" s="3"/>
      <c r="N919" s="3" t="s">
        <v>4060</v>
      </c>
      <c r="O919" s="3"/>
      <c r="P919" s="3" t="s">
        <v>25</v>
      </c>
      <c r="Q919" s="3" t="s">
        <v>5534</v>
      </c>
    </row>
    <row r="920" spans="1:17">
      <c r="A920" s="3">
        <v>5200569</v>
      </c>
      <c r="B920" s="3" t="s">
        <v>4232</v>
      </c>
      <c r="C920" s="3" t="str">
        <f>"9781945612824"</f>
        <v>9781945612824</v>
      </c>
      <c r="D920" s="3" t="str">
        <f>"9781945612831"</f>
        <v>9781945612831</v>
      </c>
      <c r="E920" s="3" t="s">
        <v>4192</v>
      </c>
      <c r="F920" s="3" t="s">
        <v>4192</v>
      </c>
      <c r="G920" s="4">
        <v>42826</v>
      </c>
      <c r="H920" s="3" t="s">
        <v>20</v>
      </c>
      <c r="I920" s="3">
        <v>1</v>
      </c>
      <c r="J920" s="3"/>
      <c r="K920" s="3" t="s">
        <v>4233</v>
      </c>
      <c r="L920" s="3" t="s">
        <v>4218</v>
      </c>
      <c r="M920" s="3"/>
      <c r="N920" s="3"/>
      <c r="O920" s="3"/>
      <c r="P920" s="3" t="s">
        <v>25</v>
      </c>
      <c r="Q920" s="3" t="s">
        <v>5535</v>
      </c>
    </row>
    <row r="921" spans="1:17">
      <c r="A921" s="3">
        <v>5210525</v>
      </c>
      <c r="B921" s="3" t="s">
        <v>4234</v>
      </c>
      <c r="C921" s="3" t="str">
        <f>"9781631593734"</f>
        <v>9781631593734</v>
      </c>
      <c r="D921" s="3" t="str">
        <f>"9781631595431"</f>
        <v>9781631595431</v>
      </c>
      <c r="E921" s="3" t="s">
        <v>3577</v>
      </c>
      <c r="F921" s="3" t="s">
        <v>3578</v>
      </c>
      <c r="G921" s="4">
        <v>43095</v>
      </c>
      <c r="H921" s="3" t="s">
        <v>20</v>
      </c>
      <c r="I921" s="3"/>
      <c r="J921" s="3"/>
      <c r="K921" s="3" t="s">
        <v>4235</v>
      </c>
      <c r="L921" s="3" t="s">
        <v>43</v>
      </c>
      <c r="M921" s="3" t="s">
        <v>4236</v>
      </c>
      <c r="N921" s="3">
        <v>703</v>
      </c>
      <c r="O921" s="3" t="s">
        <v>4237</v>
      </c>
      <c r="P921" s="3" t="s">
        <v>25</v>
      </c>
      <c r="Q921" s="3" t="s">
        <v>5536</v>
      </c>
    </row>
    <row r="922" spans="1:17">
      <c r="A922" s="3">
        <v>5228949</v>
      </c>
      <c r="B922" s="3" t="s">
        <v>4238</v>
      </c>
      <c r="C922" s="3" t="str">
        <f>"9781496337177"</f>
        <v>9781496337177</v>
      </c>
      <c r="D922" s="3" t="str">
        <f>"9781496337184"</f>
        <v>9781496337184</v>
      </c>
      <c r="E922" s="3" t="s">
        <v>4239</v>
      </c>
      <c r="F922" s="3" t="s">
        <v>4239</v>
      </c>
      <c r="G922" s="4">
        <v>42677</v>
      </c>
      <c r="H922" s="3" t="s">
        <v>20</v>
      </c>
      <c r="I922" s="3">
        <v>3</v>
      </c>
      <c r="J922" s="3"/>
      <c r="K922" s="3" t="s">
        <v>4240</v>
      </c>
      <c r="L922" s="3" t="s">
        <v>204</v>
      </c>
      <c r="M922" s="3" t="s">
        <v>4241</v>
      </c>
      <c r="N922" s="3">
        <v>617.71</v>
      </c>
      <c r="O922" s="3" t="s">
        <v>4242</v>
      </c>
      <c r="P922" s="3" t="s">
        <v>25</v>
      </c>
      <c r="Q922" s="3" t="s">
        <v>5537</v>
      </c>
    </row>
    <row r="923" spans="1:17">
      <c r="A923" s="3">
        <v>5253404</v>
      </c>
      <c r="B923" s="3" t="s">
        <v>4243</v>
      </c>
      <c r="C923" s="3" t="str">
        <f>"9781625110459"</f>
        <v>9781625110459</v>
      </c>
      <c r="D923" s="3" t="str">
        <f>"9781625110466"</f>
        <v>9781625110466</v>
      </c>
      <c r="E923" s="3" t="s">
        <v>4038</v>
      </c>
      <c r="F923" s="3" t="s">
        <v>4038</v>
      </c>
      <c r="G923" s="4">
        <v>43054</v>
      </c>
      <c r="H923" s="3" t="s">
        <v>20</v>
      </c>
      <c r="I923" s="3">
        <v>1</v>
      </c>
      <c r="J923" s="3"/>
      <c r="K923" s="3" t="s">
        <v>4244</v>
      </c>
      <c r="L923" s="3" t="s">
        <v>616</v>
      </c>
      <c r="M923" s="3" t="s">
        <v>4245</v>
      </c>
      <c r="N923" s="3"/>
      <c r="O923" s="3" t="s">
        <v>4246</v>
      </c>
      <c r="P923" s="3" t="s">
        <v>25</v>
      </c>
      <c r="Q923" s="3" t="s">
        <v>5538</v>
      </c>
    </row>
    <row r="924" spans="1:17">
      <c r="A924" s="3">
        <v>5254211</v>
      </c>
      <c r="B924" s="3" t="s">
        <v>4247</v>
      </c>
      <c r="C924" s="3" t="str">
        <f>"9781567264227"</f>
        <v>9781567264227</v>
      </c>
      <c r="D924" s="3" t="str">
        <f>"9781523096671"</f>
        <v>9781523096671</v>
      </c>
      <c r="E924" s="3" t="s">
        <v>4248</v>
      </c>
      <c r="F924" s="3" t="s">
        <v>4248</v>
      </c>
      <c r="G924" s="4">
        <v>41456</v>
      </c>
      <c r="H924" s="3" t="s">
        <v>20</v>
      </c>
      <c r="I924" s="3">
        <v>1</v>
      </c>
      <c r="J924" s="3"/>
      <c r="K924" s="3" t="s">
        <v>4249</v>
      </c>
      <c r="L924" s="3" t="s">
        <v>4250</v>
      </c>
      <c r="M924" s="3"/>
      <c r="N924" s="3"/>
      <c r="O924" s="3"/>
      <c r="P924" s="3" t="s">
        <v>25</v>
      </c>
      <c r="Q924" s="3" t="s">
        <v>5539</v>
      </c>
    </row>
    <row r="925" spans="1:17">
      <c r="A925" s="3">
        <v>5302460</v>
      </c>
      <c r="B925" s="3" t="s">
        <v>4251</v>
      </c>
      <c r="C925" s="3" t="str">
        <f>"9780873898911"</f>
        <v>9780873898911</v>
      </c>
      <c r="D925" s="3" t="str">
        <f>"9781951058616"</f>
        <v>9781951058616</v>
      </c>
      <c r="E925" s="3" t="s">
        <v>4252</v>
      </c>
      <c r="F925" s="3" t="s">
        <v>4080</v>
      </c>
      <c r="G925" s="4">
        <v>41791</v>
      </c>
      <c r="H925" s="3" t="s">
        <v>20</v>
      </c>
      <c r="I925" s="3"/>
      <c r="J925" s="3"/>
      <c r="K925" s="3" t="s">
        <v>4253</v>
      </c>
      <c r="L925" s="3" t="s">
        <v>36</v>
      </c>
      <c r="M925" s="3" t="s">
        <v>4254</v>
      </c>
      <c r="N925" s="3">
        <v>658.5</v>
      </c>
      <c r="O925" s="3" t="s">
        <v>4255</v>
      </c>
      <c r="P925" s="3" t="s">
        <v>25</v>
      </c>
      <c r="Q925" s="3" t="s">
        <v>5540</v>
      </c>
    </row>
    <row r="926" spans="1:17">
      <c r="A926" s="3">
        <v>5302463</v>
      </c>
      <c r="B926" s="3" t="s">
        <v>4256</v>
      </c>
      <c r="C926" s="3" t="str">
        <f>""</f>
        <v/>
      </c>
      <c r="D926" s="3" t="str">
        <f>"9780873899413"</f>
        <v>9780873899413</v>
      </c>
      <c r="E926" s="3" t="s">
        <v>4080</v>
      </c>
      <c r="F926" s="3" t="s">
        <v>4080</v>
      </c>
      <c r="G926" s="4">
        <v>42675</v>
      </c>
      <c r="H926" s="3" t="s">
        <v>20</v>
      </c>
      <c r="I926" s="3"/>
      <c r="J926" s="3"/>
      <c r="K926" s="3" t="s">
        <v>4257</v>
      </c>
      <c r="L926" s="3" t="s">
        <v>36</v>
      </c>
      <c r="M926" s="3" t="s">
        <v>4258</v>
      </c>
      <c r="N926" s="3" t="s">
        <v>4259</v>
      </c>
      <c r="O926" s="3" t="s">
        <v>4260</v>
      </c>
      <c r="P926" s="3" t="s">
        <v>25</v>
      </c>
      <c r="Q926" s="3" t="s">
        <v>5541</v>
      </c>
    </row>
    <row r="927" spans="1:17">
      <c r="A927" s="3">
        <v>5314390</v>
      </c>
      <c r="B927" s="3" t="s">
        <v>4261</v>
      </c>
      <c r="C927" s="3" t="str">
        <f>"9780520291973"</f>
        <v>9780520291973</v>
      </c>
      <c r="D927" s="3" t="str">
        <f>"9780520965560"</f>
        <v>9780520965560</v>
      </c>
      <c r="E927" s="3" t="s">
        <v>2736</v>
      </c>
      <c r="F927" s="3" t="s">
        <v>2736</v>
      </c>
      <c r="G927" s="4">
        <v>43154</v>
      </c>
      <c r="H927" s="3" t="s">
        <v>20</v>
      </c>
      <c r="I927" s="3">
        <v>1</v>
      </c>
      <c r="J927" s="3"/>
      <c r="K927" s="3" t="s">
        <v>4262</v>
      </c>
      <c r="L927" s="3" t="s">
        <v>2744</v>
      </c>
      <c r="M927" s="3"/>
      <c r="N927" s="3">
        <v>615.32109509999998</v>
      </c>
      <c r="O927" s="3"/>
      <c r="P927" s="3" t="s">
        <v>25</v>
      </c>
      <c r="Q927" s="3" t="s">
        <v>5542</v>
      </c>
    </row>
    <row r="928" spans="1:17">
      <c r="A928" s="3">
        <v>5325559</v>
      </c>
      <c r="B928" s="3" t="s">
        <v>4263</v>
      </c>
      <c r="C928" s="3" t="str">
        <f>"9781611862867"</f>
        <v>9781611862867</v>
      </c>
      <c r="D928" s="3" t="str">
        <f>"9781609175665"</f>
        <v>9781609175665</v>
      </c>
      <c r="E928" s="3" t="s">
        <v>4264</v>
      </c>
      <c r="F928" s="3" t="s">
        <v>4264</v>
      </c>
      <c r="G928" s="4">
        <v>43252</v>
      </c>
      <c r="H928" s="3" t="s">
        <v>20</v>
      </c>
      <c r="I928" s="3">
        <v>1</v>
      </c>
      <c r="J928" s="3" t="s">
        <v>4265</v>
      </c>
      <c r="K928" s="3" t="s">
        <v>4266</v>
      </c>
      <c r="L928" s="3" t="s">
        <v>4267</v>
      </c>
      <c r="M928" s="3" t="s">
        <v>4268</v>
      </c>
      <c r="N928" s="3"/>
      <c r="O928" s="3"/>
      <c r="P928" s="3" t="s">
        <v>25</v>
      </c>
      <c r="Q928" s="3" t="s">
        <v>5543</v>
      </c>
    </row>
    <row r="929" spans="1:17">
      <c r="A929" s="3">
        <v>5331635</v>
      </c>
      <c r="B929" s="3" t="s">
        <v>4269</v>
      </c>
      <c r="C929" s="3" t="str">
        <f>"9780253023735"</f>
        <v>9780253023735</v>
      </c>
      <c r="D929" s="3" t="str">
        <f>"9780253023865"</f>
        <v>9780253023865</v>
      </c>
      <c r="E929" s="3" t="s">
        <v>2432</v>
      </c>
      <c r="F929" s="3" t="s">
        <v>2432</v>
      </c>
      <c r="G929" s="4">
        <v>43211</v>
      </c>
      <c r="H929" s="3" t="s">
        <v>20</v>
      </c>
      <c r="I929" s="3"/>
      <c r="J929" s="3" t="s">
        <v>4270</v>
      </c>
      <c r="K929" s="3" t="s">
        <v>4271</v>
      </c>
      <c r="L929" s="3" t="s">
        <v>58</v>
      </c>
      <c r="M929" s="3" t="s">
        <v>4272</v>
      </c>
      <c r="N929" s="3">
        <v>940.53184999999996</v>
      </c>
      <c r="O929" s="3" t="s">
        <v>4273</v>
      </c>
      <c r="P929" s="3" t="s">
        <v>25</v>
      </c>
      <c r="Q929" s="3" t="s">
        <v>5544</v>
      </c>
    </row>
    <row r="930" spans="1:17">
      <c r="A930" s="3">
        <v>5389943</v>
      </c>
      <c r="B930" s="3" t="s">
        <v>4274</v>
      </c>
      <c r="C930" s="3" t="str">
        <f>"9781501822513"</f>
        <v>9781501822513</v>
      </c>
      <c r="D930" s="3" t="str">
        <f>"9781501822520"</f>
        <v>9781501822520</v>
      </c>
      <c r="E930" s="3" t="s">
        <v>4275</v>
      </c>
      <c r="F930" s="3" t="s">
        <v>4275</v>
      </c>
      <c r="G930" s="4">
        <v>43235</v>
      </c>
      <c r="H930" s="3" t="s">
        <v>20</v>
      </c>
      <c r="I930" s="3">
        <v>1</v>
      </c>
      <c r="J930" s="3"/>
      <c r="K930" s="3" t="s">
        <v>4276</v>
      </c>
      <c r="L930" s="3" t="s">
        <v>118</v>
      </c>
      <c r="M930" s="3"/>
      <c r="N930" s="3">
        <v>200.97300000000001</v>
      </c>
      <c r="O930" s="3"/>
      <c r="P930" s="3" t="s">
        <v>25</v>
      </c>
      <c r="Q930" s="3" t="s">
        <v>5545</v>
      </c>
    </row>
    <row r="931" spans="1:17">
      <c r="A931" s="3">
        <v>5408081</v>
      </c>
      <c r="B931" s="3" t="s">
        <v>4277</v>
      </c>
      <c r="C931" s="3" t="str">
        <f>"9782804462673"</f>
        <v>9782804462673</v>
      </c>
      <c r="D931" s="3" t="str">
        <f>"9782804468996"</f>
        <v>9782804468996</v>
      </c>
      <c r="E931" s="3" t="s">
        <v>4278</v>
      </c>
      <c r="F931" s="3" t="s">
        <v>4278</v>
      </c>
      <c r="G931" s="4">
        <v>41583</v>
      </c>
      <c r="H931" s="3" t="s">
        <v>20</v>
      </c>
      <c r="I931" s="3">
        <v>1</v>
      </c>
      <c r="J931" s="3" t="s">
        <v>4279</v>
      </c>
      <c r="K931" s="3" t="s">
        <v>4280</v>
      </c>
      <c r="L931" s="3" t="s">
        <v>649</v>
      </c>
      <c r="M931" s="3" t="s">
        <v>4281</v>
      </c>
      <c r="N931" s="3">
        <v>338.19</v>
      </c>
      <c r="O931" s="3" t="s">
        <v>4282</v>
      </c>
      <c r="P931" s="3" t="s">
        <v>25</v>
      </c>
      <c r="Q931" s="3" t="s">
        <v>5546</v>
      </c>
    </row>
    <row r="932" spans="1:17">
      <c r="A932" s="3">
        <v>5428255</v>
      </c>
      <c r="B932" s="3" t="s">
        <v>3641</v>
      </c>
      <c r="C932" s="3" t="str">
        <f>"9781760462185"</f>
        <v>9781760462185</v>
      </c>
      <c r="D932" s="3" t="str">
        <f>"9781760462192"</f>
        <v>9781760462192</v>
      </c>
      <c r="E932" s="3" t="s">
        <v>3637</v>
      </c>
      <c r="F932" s="3" t="s">
        <v>3637</v>
      </c>
      <c r="G932" s="4">
        <v>43222</v>
      </c>
      <c r="H932" s="3" t="s">
        <v>20</v>
      </c>
      <c r="I932" s="3">
        <v>1</v>
      </c>
      <c r="J932" s="3" t="s">
        <v>4283</v>
      </c>
      <c r="K932" s="3" t="s">
        <v>3642</v>
      </c>
      <c r="L932" s="3" t="s">
        <v>58</v>
      </c>
      <c r="M932" s="3" t="s">
        <v>4284</v>
      </c>
      <c r="N932" s="3">
        <v>920.02</v>
      </c>
      <c r="O932" s="3" t="s">
        <v>4285</v>
      </c>
      <c r="P932" s="3" t="s">
        <v>25</v>
      </c>
      <c r="Q932" s="3" t="s">
        <v>5547</v>
      </c>
    </row>
    <row r="933" spans="1:17">
      <c r="A933" s="3">
        <v>5431172</v>
      </c>
      <c r="B933" s="3" t="s">
        <v>4286</v>
      </c>
      <c r="C933" s="3" t="str">
        <f>"9781787563902"</f>
        <v>9781787563902</v>
      </c>
      <c r="D933" s="3" t="str">
        <f>"9781787563872"</f>
        <v>9781787563872</v>
      </c>
      <c r="E933" s="3" t="s">
        <v>101</v>
      </c>
      <c r="F933" s="3" t="s">
        <v>101</v>
      </c>
      <c r="G933" s="4">
        <v>43277</v>
      </c>
      <c r="H933" s="3" t="s">
        <v>20</v>
      </c>
      <c r="I933" s="3"/>
      <c r="J933" s="3" t="s">
        <v>4287</v>
      </c>
      <c r="K933" s="3" t="s">
        <v>4288</v>
      </c>
      <c r="L933" s="3" t="s">
        <v>532</v>
      </c>
      <c r="M933" s="3" t="s">
        <v>4289</v>
      </c>
      <c r="N933" s="3">
        <v>378</v>
      </c>
      <c r="O933" s="3" t="s">
        <v>4290</v>
      </c>
      <c r="P933" s="3" t="s">
        <v>25</v>
      </c>
      <c r="Q933" s="3" t="s">
        <v>5548</v>
      </c>
    </row>
    <row r="934" spans="1:17">
      <c r="A934" s="3">
        <v>5477619</v>
      </c>
      <c r="B934" s="3" t="s">
        <v>4291</v>
      </c>
      <c r="C934" s="3" t="str">
        <f>"9781527509115"</f>
        <v>9781527509115</v>
      </c>
      <c r="D934" s="3" t="str">
        <f>"9781527514614"</f>
        <v>9781527514614</v>
      </c>
      <c r="E934" s="3" t="s">
        <v>4145</v>
      </c>
      <c r="F934" s="3" t="s">
        <v>4145</v>
      </c>
      <c r="G934" s="4">
        <v>43220</v>
      </c>
      <c r="H934" s="3" t="s">
        <v>20</v>
      </c>
      <c r="I934" s="3"/>
      <c r="J934" s="3"/>
      <c r="K934" s="3" t="s">
        <v>4292</v>
      </c>
      <c r="L934" s="3" t="s">
        <v>64</v>
      </c>
      <c r="M934" s="3" t="s">
        <v>4293</v>
      </c>
      <c r="N934" s="3" t="s">
        <v>1531</v>
      </c>
      <c r="O934" s="3" t="s">
        <v>4294</v>
      </c>
      <c r="P934" s="3" t="s">
        <v>25</v>
      </c>
      <c r="Q934" s="3" t="s">
        <v>5549</v>
      </c>
    </row>
    <row r="935" spans="1:17">
      <c r="A935" s="3">
        <v>5491663</v>
      </c>
      <c r="B935" s="3" t="s">
        <v>4295</v>
      </c>
      <c r="C935" s="3" t="str">
        <f>"9781423236511"</f>
        <v>9781423236511</v>
      </c>
      <c r="D935" s="3" t="str">
        <f>"9781423237181"</f>
        <v>9781423237181</v>
      </c>
      <c r="E935" s="3" t="s">
        <v>4165</v>
      </c>
      <c r="F935" s="3" t="s">
        <v>4166</v>
      </c>
      <c r="G935" s="4">
        <v>43040</v>
      </c>
      <c r="H935" s="3" t="s">
        <v>20</v>
      </c>
      <c r="I935" s="3">
        <v>2</v>
      </c>
      <c r="J935" s="3"/>
      <c r="K935" s="3" t="s">
        <v>4296</v>
      </c>
      <c r="L935" s="3" t="s">
        <v>504</v>
      </c>
      <c r="M935" s="3" t="s">
        <v>4297</v>
      </c>
      <c r="N935" s="3">
        <v>478.24209999999999</v>
      </c>
      <c r="O935" s="3" t="s">
        <v>4298</v>
      </c>
      <c r="P935" s="3" t="s">
        <v>25</v>
      </c>
      <c r="Q935" s="3" t="s">
        <v>5550</v>
      </c>
    </row>
    <row r="936" spans="1:17">
      <c r="A936" s="3">
        <v>5493342</v>
      </c>
      <c r="B936" s="3" t="s">
        <v>4299</v>
      </c>
      <c r="C936" s="3" t="str">
        <f>"9781626238930"</f>
        <v>9781626238930</v>
      </c>
      <c r="D936" s="3" t="str">
        <f>"9781626238947"</f>
        <v>9781626238947</v>
      </c>
      <c r="E936" s="3" t="s">
        <v>4300</v>
      </c>
      <c r="F936" s="3" t="s">
        <v>4300</v>
      </c>
      <c r="G936" s="4">
        <v>43382</v>
      </c>
      <c r="H936" s="3" t="s">
        <v>20</v>
      </c>
      <c r="I936" s="3">
        <v>1</v>
      </c>
      <c r="J936" s="3"/>
      <c r="K936" s="3" t="s">
        <v>4301</v>
      </c>
      <c r="L936" s="3" t="s">
        <v>204</v>
      </c>
      <c r="M936" s="3" t="s">
        <v>4302</v>
      </c>
      <c r="N936" s="3" t="s">
        <v>4303</v>
      </c>
      <c r="O936" s="3"/>
      <c r="P936" s="3" t="s">
        <v>25</v>
      </c>
      <c r="Q936" s="3" t="s">
        <v>5551</v>
      </c>
    </row>
    <row r="937" spans="1:17">
      <c r="A937" s="3">
        <v>5495393</v>
      </c>
      <c r="B937" s="3" t="s">
        <v>4304</v>
      </c>
      <c r="C937" s="3" t="str">
        <f>"9781787146129"</f>
        <v>9781787146129</v>
      </c>
      <c r="D937" s="3" t="str">
        <f>"9781787146112"</f>
        <v>9781787146112</v>
      </c>
      <c r="E937" s="3" t="s">
        <v>101</v>
      </c>
      <c r="F937" s="3" t="s">
        <v>101</v>
      </c>
      <c r="G937" s="4">
        <v>43340</v>
      </c>
      <c r="H937" s="3" t="s">
        <v>20</v>
      </c>
      <c r="I937" s="3"/>
      <c r="J937" s="3" t="s">
        <v>4305</v>
      </c>
      <c r="K937" s="3" t="s">
        <v>4306</v>
      </c>
      <c r="L937" s="3" t="s">
        <v>64</v>
      </c>
      <c r="M937" s="3" t="s">
        <v>4307</v>
      </c>
      <c r="N937" s="3">
        <v>301</v>
      </c>
      <c r="O937" s="3" t="s">
        <v>4308</v>
      </c>
      <c r="P937" s="3" t="s">
        <v>25</v>
      </c>
      <c r="Q937" s="3" t="s">
        <v>5552</v>
      </c>
    </row>
    <row r="938" spans="1:17">
      <c r="A938" s="3">
        <v>5508330</v>
      </c>
      <c r="B938" s="3" t="s">
        <v>4309</v>
      </c>
      <c r="C938" s="3" t="str">
        <f>"9781760462062"</f>
        <v>9781760462062</v>
      </c>
      <c r="D938" s="3" t="str">
        <f>"9781760462079"</f>
        <v>9781760462079</v>
      </c>
      <c r="E938" s="3" t="s">
        <v>3637</v>
      </c>
      <c r="F938" s="3" t="s">
        <v>3637</v>
      </c>
      <c r="G938" s="4">
        <v>43322</v>
      </c>
      <c r="H938" s="3" t="s">
        <v>20</v>
      </c>
      <c r="I938" s="3">
        <v>1</v>
      </c>
      <c r="J938" s="3" t="s">
        <v>4310</v>
      </c>
      <c r="K938" s="3" t="s">
        <v>4311</v>
      </c>
      <c r="L938" s="3" t="s">
        <v>504</v>
      </c>
      <c r="M938" s="3" t="s">
        <v>4312</v>
      </c>
      <c r="N938" s="3">
        <v>433.21</v>
      </c>
      <c r="O938" s="3" t="s">
        <v>4313</v>
      </c>
      <c r="P938" s="3" t="s">
        <v>25</v>
      </c>
      <c r="Q938" s="3" t="s">
        <v>5553</v>
      </c>
    </row>
    <row r="939" spans="1:17">
      <c r="A939" s="3">
        <v>5514687</v>
      </c>
      <c r="B939" s="3" t="s">
        <v>4314</v>
      </c>
      <c r="C939" s="3" t="str">
        <f>"9781920778293"</f>
        <v>9781920778293</v>
      </c>
      <c r="D939" s="3" t="str">
        <f>"9781875833184"</f>
        <v>9781875833184</v>
      </c>
      <c r="E939" s="3" t="s">
        <v>4315</v>
      </c>
      <c r="F939" s="3" t="s">
        <v>4315</v>
      </c>
      <c r="G939" s="4">
        <v>41548</v>
      </c>
      <c r="H939" s="3" t="s">
        <v>20</v>
      </c>
      <c r="I939" s="3">
        <v>1</v>
      </c>
      <c r="J939" s="3"/>
      <c r="K939" s="3" t="s">
        <v>4316</v>
      </c>
      <c r="L939" s="3" t="s">
        <v>354</v>
      </c>
      <c r="M939" s="3" t="s">
        <v>4317</v>
      </c>
      <c r="N939" s="3">
        <v>346.94048199999997</v>
      </c>
      <c r="O939" s="3" t="s">
        <v>4318</v>
      </c>
      <c r="P939" s="3" t="s">
        <v>25</v>
      </c>
      <c r="Q939" s="3" t="s">
        <v>5554</v>
      </c>
    </row>
    <row r="940" spans="1:17">
      <c r="A940" s="3">
        <v>5514703</v>
      </c>
      <c r="B940" s="3" t="s">
        <v>4319</v>
      </c>
      <c r="C940" s="3" t="str">
        <f>"9781920778231"</f>
        <v>9781920778231</v>
      </c>
      <c r="D940" s="3" t="str">
        <f>"9781875833269"</f>
        <v>9781875833269</v>
      </c>
      <c r="E940" s="3" t="s">
        <v>4315</v>
      </c>
      <c r="F940" s="3" t="s">
        <v>4315</v>
      </c>
      <c r="G940" s="4">
        <v>41579</v>
      </c>
      <c r="H940" s="3" t="s">
        <v>20</v>
      </c>
      <c r="I940" s="3">
        <v>1</v>
      </c>
      <c r="J940" s="3"/>
      <c r="K940" s="3" t="s">
        <v>4320</v>
      </c>
      <c r="L940" s="3" t="s">
        <v>354</v>
      </c>
      <c r="M940" s="3" t="s">
        <v>4321</v>
      </c>
      <c r="N940" s="3">
        <v>346.94048199999997</v>
      </c>
      <c r="O940" s="3" t="s">
        <v>4322</v>
      </c>
      <c r="P940" s="3" t="s">
        <v>25</v>
      </c>
      <c r="Q940" s="3" t="s">
        <v>5555</v>
      </c>
    </row>
    <row r="941" spans="1:17">
      <c r="A941" s="3">
        <v>5520094</v>
      </c>
      <c r="B941" s="3" t="s">
        <v>4323</v>
      </c>
      <c r="C941" s="3" t="str">
        <f>"9780817304485"</f>
        <v>9780817304485</v>
      </c>
      <c r="D941" s="3" t="str">
        <f>"9780817392277"</f>
        <v>9780817392277</v>
      </c>
      <c r="E941" s="3" t="s">
        <v>4324</v>
      </c>
      <c r="F941" s="3" t="s">
        <v>4324</v>
      </c>
      <c r="G941" s="4">
        <v>32658</v>
      </c>
      <c r="H941" s="3" t="s">
        <v>20</v>
      </c>
      <c r="I941" s="3">
        <v>1</v>
      </c>
      <c r="J941" s="3"/>
      <c r="K941" s="3" t="s">
        <v>4325</v>
      </c>
      <c r="L941" s="3" t="s">
        <v>616</v>
      </c>
      <c r="M941" s="3" t="s">
        <v>4326</v>
      </c>
      <c r="N941" s="3" t="s">
        <v>4327</v>
      </c>
      <c r="O941" s="3"/>
      <c r="P941" s="3" t="s">
        <v>25</v>
      </c>
      <c r="Q941" s="3" t="s">
        <v>5556</v>
      </c>
    </row>
    <row r="942" spans="1:17">
      <c r="A942" s="3">
        <v>5527144</v>
      </c>
      <c r="B942" s="3" t="s">
        <v>4328</v>
      </c>
      <c r="C942" s="3" t="str">
        <f>"9781630472498"</f>
        <v>9781630472498</v>
      </c>
      <c r="D942" s="3" t="str">
        <f>"9781630472504"</f>
        <v>9781630472504</v>
      </c>
      <c r="E942" s="3" t="s">
        <v>4329</v>
      </c>
      <c r="F942" s="3" t="s">
        <v>4329</v>
      </c>
      <c r="G942" s="4">
        <v>42129</v>
      </c>
      <c r="H942" s="3" t="s">
        <v>20</v>
      </c>
      <c r="I942" s="3"/>
      <c r="J942" s="3"/>
      <c r="K942" s="3" t="s">
        <v>4330</v>
      </c>
      <c r="L942" s="3" t="s">
        <v>36</v>
      </c>
      <c r="M942" s="3" t="s">
        <v>4331</v>
      </c>
      <c r="N942" s="3">
        <v>650.1</v>
      </c>
      <c r="O942" s="3" t="s">
        <v>4332</v>
      </c>
      <c r="P942" s="3" t="s">
        <v>25</v>
      </c>
      <c r="Q942" s="3" t="s">
        <v>5557</v>
      </c>
    </row>
    <row r="943" spans="1:17">
      <c r="A943" s="3">
        <v>5532024</v>
      </c>
      <c r="B943" s="3" t="s">
        <v>4333</v>
      </c>
      <c r="C943" s="3" t="str">
        <f>"9781464812729"</f>
        <v>9781464812729</v>
      </c>
      <c r="D943" s="3" t="str">
        <f>"9781464812736"</f>
        <v>9781464812736</v>
      </c>
      <c r="E943" s="3" t="s">
        <v>2216</v>
      </c>
      <c r="F943" s="3" t="s">
        <v>2216</v>
      </c>
      <c r="G943" s="4">
        <v>43354</v>
      </c>
      <c r="H943" s="3" t="s">
        <v>20</v>
      </c>
      <c r="I943" s="3">
        <v>1</v>
      </c>
      <c r="J943" s="3"/>
      <c r="K943" s="3" t="s">
        <v>4334</v>
      </c>
      <c r="L943" s="3" t="s">
        <v>4335</v>
      </c>
      <c r="M943" s="3" t="s">
        <v>4336</v>
      </c>
      <c r="N943" s="3">
        <v>388.428</v>
      </c>
      <c r="O943" s="3" t="s">
        <v>4337</v>
      </c>
      <c r="P943" s="3" t="s">
        <v>25</v>
      </c>
      <c r="Q943" s="3" t="s">
        <v>5558</v>
      </c>
    </row>
    <row r="944" spans="1:17">
      <c r="A944" s="3">
        <v>5557357</v>
      </c>
      <c r="B944" s="3" t="s">
        <v>4338</v>
      </c>
      <c r="C944" s="3" t="str">
        <f>"9789004364059"</f>
        <v>9789004364059</v>
      </c>
      <c r="D944" s="3" t="str">
        <f>"9789004364066"</f>
        <v>9789004364066</v>
      </c>
      <c r="E944" s="3" t="s">
        <v>611</v>
      </c>
      <c r="F944" s="3" t="s">
        <v>2794</v>
      </c>
      <c r="G944" s="4">
        <v>43300</v>
      </c>
      <c r="H944" s="3" t="s">
        <v>20</v>
      </c>
      <c r="I944" s="3">
        <v>1</v>
      </c>
      <c r="J944" s="3" t="s">
        <v>4339</v>
      </c>
      <c r="K944" s="3" t="s">
        <v>4340</v>
      </c>
      <c r="L944" s="3" t="s">
        <v>58</v>
      </c>
      <c r="M944" s="3"/>
      <c r="N944" s="3">
        <v>929.90941099999998</v>
      </c>
      <c r="O944" s="3"/>
      <c r="P944" s="3" t="s">
        <v>25</v>
      </c>
      <c r="Q944" s="3" t="s">
        <v>5559</v>
      </c>
    </row>
    <row r="945" spans="1:17">
      <c r="A945" s="3">
        <v>5558997</v>
      </c>
      <c r="B945" s="3" t="s">
        <v>4341</v>
      </c>
      <c r="C945" s="3" t="str">
        <f>"9781423236481"</f>
        <v>9781423236481</v>
      </c>
      <c r="D945" s="3" t="str">
        <f>"9781423236726"</f>
        <v>9781423236726</v>
      </c>
      <c r="E945" s="3" t="s">
        <v>4165</v>
      </c>
      <c r="F945" s="3" t="s">
        <v>4166</v>
      </c>
      <c r="G945" s="4">
        <v>43040</v>
      </c>
      <c r="H945" s="3" t="s">
        <v>20</v>
      </c>
      <c r="I945" s="3">
        <v>1</v>
      </c>
      <c r="J945" s="3"/>
      <c r="K945" s="3" t="s">
        <v>4342</v>
      </c>
      <c r="L945" s="3" t="s">
        <v>504</v>
      </c>
      <c r="M945" s="3" t="s">
        <v>4343</v>
      </c>
      <c r="N945" s="3">
        <v>438.24209999999999</v>
      </c>
      <c r="O945" s="3" t="s">
        <v>4344</v>
      </c>
      <c r="P945" s="3" t="s">
        <v>25</v>
      </c>
      <c r="Q945" s="3" t="s">
        <v>5560</v>
      </c>
    </row>
    <row r="946" spans="1:17">
      <c r="A946" s="3">
        <v>5559990</v>
      </c>
      <c r="B946" s="3" t="s">
        <v>4345</v>
      </c>
      <c r="C946" s="3" t="str">
        <f>"9781610021388"</f>
        <v>9781610021388</v>
      </c>
      <c r="D946" s="3" t="str">
        <f>"9781610021395"</f>
        <v>9781610021395</v>
      </c>
      <c r="E946" s="3" t="s">
        <v>4346</v>
      </c>
      <c r="F946" s="3" t="s">
        <v>4346</v>
      </c>
      <c r="G946" s="4">
        <v>43405</v>
      </c>
      <c r="H946" s="3" t="s">
        <v>20</v>
      </c>
      <c r="I946" s="3">
        <v>3</v>
      </c>
      <c r="J946" s="3"/>
      <c r="K946" s="3" t="s">
        <v>4347</v>
      </c>
      <c r="L946" s="3" t="s">
        <v>504</v>
      </c>
      <c r="M946" s="3" t="s">
        <v>4348</v>
      </c>
      <c r="N946" s="3">
        <v>468.34210246100002</v>
      </c>
      <c r="O946" s="3" t="s">
        <v>4349</v>
      </c>
      <c r="P946" s="3" t="s">
        <v>25</v>
      </c>
      <c r="Q946" s="3" t="s">
        <v>5561</v>
      </c>
    </row>
    <row r="947" spans="1:17">
      <c r="A947" s="3">
        <v>5570569</v>
      </c>
      <c r="B947" s="3" t="s">
        <v>4350</v>
      </c>
      <c r="C947" s="3" t="str">
        <f>"9789004345775"</f>
        <v>9789004345775</v>
      </c>
      <c r="D947" s="3" t="str">
        <f>"9789004359543"</f>
        <v>9789004359543</v>
      </c>
      <c r="E947" s="3" t="s">
        <v>611</v>
      </c>
      <c r="F947" s="3" t="s">
        <v>611</v>
      </c>
      <c r="G947" s="4">
        <v>42979</v>
      </c>
      <c r="H947" s="3" t="s">
        <v>20</v>
      </c>
      <c r="I947" s="3">
        <v>1</v>
      </c>
      <c r="J947" s="3"/>
      <c r="K947" s="3" t="s">
        <v>4351</v>
      </c>
      <c r="L947" s="3" t="s">
        <v>504</v>
      </c>
      <c r="M947" s="3" t="s">
        <v>4352</v>
      </c>
      <c r="N947" s="3">
        <v>408.99239999999998</v>
      </c>
      <c r="O947" s="3" t="s">
        <v>4353</v>
      </c>
      <c r="P947" s="3" t="s">
        <v>25</v>
      </c>
      <c r="Q947" s="3" t="s">
        <v>5562</v>
      </c>
    </row>
    <row r="948" spans="1:17">
      <c r="A948" s="3">
        <v>5570713</v>
      </c>
      <c r="B948" s="3" t="s">
        <v>4354</v>
      </c>
      <c r="C948" s="3" t="str">
        <f>""</f>
        <v/>
      </c>
      <c r="D948" s="3" t="str">
        <f>"9781682177655"</f>
        <v>9781682177655</v>
      </c>
      <c r="E948" s="3" t="s">
        <v>3341</v>
      </c>
      <c r="F948" s="3" t="s">
        <v>3341</v>
      </c>
      <c r="G948" s="4">
        <v>43228</v>
      </c>
      <c r="H948" s="3" t="s">
        <v>20</v>
      </c>
      <c r="I948" s="3">
        <v>25</v>
      </c>
      <c r="J948" s="3"/>
      <c r="K948" s="3" t="s">
        <v>4018</v>
      </c>
      <c r="L948" s="3" t="s">
        <v>64</v>
      </c>
      <c r="M948" s="3" t="s">
        <v>4355</v>
      </c>
      <c r="N948" s="3">
        <v>307.76</v>
      </c>
      <c r="O948" s="3" t="s">
        <v>4356</v>
      </c>
      <c r="P948" s="3" t="s">
        <v>25</v>
      </c>
      <c r="Q948" s="3" t="s">
        <v>5563</v>
      </c>
    </row>
    <row r="949" spans="1:17">
      <c r="A949" s="3">
        <v>5597645</v>
      </c>
      <c r="B949" s="3" t="s">
        <v>4357</v>
      </c>
      <c r="C949" s="3" t="str">
        <f>"9789004249363"</f>
        <v>9789004249363</v>
      </c>
      <c r="D949" s="3" t="str">
        <f>"9789004365001"</f>
        <v>9789004365001</v>
      </c>
      <c r="E949" s="3" t="s">
        <v>611</v>
      </c>
      <c r="F949" s="3" t="s">
        <v>611</v>
      </c>
      <c r="G949" s="4">
        <v>43202</v>
      </c>
      <c r="H949" s="3" t="s">
        <v>20</v>
      </c>
      <c r="I949" s="3">
        <v>1</v>
      </c>
      <c r="J949" s="3" t="s">
        <v>4358</v>
      </c>
      <c r="K949" s="3" t="s">
        <v>4359</v>
      </c>
      <c r="L949" s="3" t="s">
        <v>64</v>
      </c>
      <c r="M949" s="3"/>
      <c r="N949" s="3">
        <v>301.08999999999997</v>
      </c>
      <c r="O949" s="3"/>
      <c r="P949" s="3" t="s">
        <v>25</v>
      </c>
      <c r="Q949" s="3" t="s">
        <v>5564</v>
      </c>
    </row>
    <row r="950" spans="1:17">
      <c r="A950" s="3">
        <v>5598089</v>
      </c>
      <c r="B950" s="3" t="s">
        <v>4360</v>
      </c>
      <c r="C950" s="3" t="str">
        <f>"9780776627397"</f>
        <v>9780776627397</v>
      </c>
      <c r="D950" s="3" t="str">
        <f>"9780776627410"</f>
        <v>9780776627410</v>
      </c>
      <c r="E950" s="3" t="s">
        <v>4361</v>
      </c>
      <c r="F950" s="3" t="s">
        <v>4361</v>
      </c>
      <c r="G950" s="4">
        <v>43431</v>
      </c>
      <c r="H950" s="3" t="s">
        <v>20</v>
      </c>
      <c r="I950" s="3"/>
      <c r="J950" s="3"/>
      <c r="K950" s="3" t="s">
        <v>4362</v>
      </c>
      <c r="L950" s="3" t="s">
        <v>616</v>
      </c>
      <c r="M950" s="3"/>
      <c r="N950" s="3"/>
      <c r="O950" s="3"/>
      <c r="P950" s="3" t="s">
        <v>25</v>
      </c>
      <c r="Q950" s="3" t="s">
        <v>5565</v>
      </c>
    </row>
    <row r="951" spans="1:17">
      <c r="A951" s="3">
        <v>5607591</v>
      </c>
      <c r="B951" s="3" t="s">
        <v>4363</v>
      </c>
      <c r="C951" s="3" t="str">
        <f>"9780300217438"</f>
        <v>9780300217438</v>
      </c>
      <c r="D951" s="3" t="str">
        <f>"9780300240733"</f>
        <v>9780300240733</v>
      </c>
      <c r="E951" s="3" t="s">
        <v>3609</v>
      </c>
      <c r="F951" s="3" t="s">
        <v>3609</v>
      </c>
      <c r="G951" s="4">
        <v>43473</v>
      </c>
      <c r="H951" s="3" t="s">
        <v>20</v>
      </c>
      <c r="I951" s="3"/>
      <c r="J951" s="3"/>
      <c r="K951" s="3" t="s">
        <v>4364</v>
      </c>
      <c r="L951" s="3" t="s">
        <v>616</v>
      </c>
      <c r="M951" s="3"/>
      <c r="N951" s="3"/>
      <c r="O951" s="3"/>
      <c r="P951" s="3" t="s">
        <v>25</v>
      </c>
      <c r="Q951" s="3" t="s">
        <v>5566</v>
      </c>
    </row>
    <row r="952" spans="1:17">
      <c r="A952" s="3">
        <v>5611101</v>
      </c>
      <c r="B952" s="3" t="s">
        <v>4365</v>
      </c>
      <c r="C952" s="3" t="str">
        <f>"9781626234574"</f>
        <v>9781626234574</v>
      </c>
      <c r="D952" s="3" t="str">
        <f>"9781626234581"</f>
        <v>9781626234581</v>
      </c>
      <c r="E952" s="3" t="s">
        <v>4300</v>
      </c>
      <c r="F952" s="3" t="s">
        <v>4300</v>
      </c>
      <c r="G952" s="4">
        <v>43530</v>
      </c>
      <c r="H952" s="3" t="s">
        <v>20</v>
      </c>
      <c r="I952" s="3">
        <v>2</v>
      </c>
      <c r="J952" s="3"/>
      <c r="K952" s="3" t="s">
        <v>4366</v>
      </c>
      <c r="L952" s="3" t="s">
        <v>204</v>
      </c>
      <c r="M952" s="3" t="s">
        <v>4367</v>
      </c>
      <c r="N952" s="3" t="s">
        <v>4368</v>
      </c>
      <c r="O952" s="3"/>
      <c r="P952" s="3" t="s">
        <v>25</v>
      </c>
      <c r="Q952" s="3" t="s">
        <v>5567</v>
      </c>
    </row>
    <row r="953" spans="1:17">
      <c r="A953" s="3">
        <v>5612823</v>
      </c>
      <c r="B953" s="3" t="s">
        <v>4369</v>
      </c>
      <c r="C953" s="3" t="str">
        <f>"9789027263087"</f>
        <v>9789027263087</v>
      </c>
      <c r="D953" s="3" t="str">
        <f>"9789027263070"</f>
        <v>9789027263070</v>
      </c>
      <c r="E953" s="3" t="s">
        <v>3924</v>
      </c>
      <c r="F953" s="3" t="s">
        <v>3924</v>
      </c>
      <c r="G953" s="4">
        <v>43440</v>
      </c>
      <c r="H953" s="3" t="s">
        <v>20</v>
      </c>
      <c r="I953" s="3">
        <v>1</v>
      </c>
      <c r="J953" s="3" t="s">
        <v>4370</v>
      </c>
      <c r="K953" s="3" t="s">
        <v>4371</v>
      </c>
      <c r="L953" s="3" t="s">
        <v>64</v>
      </c>
      <c r="M953" s="3" t="s">
        <v>4372</v>
      </c>
      <c r="N953" s="3">
        <v>306.44</v>
      </c>
      <c r="O953" s="3" t="s">
        <v>4373</v>
      </c>
      <c r="P953" s="3" t="s">
        <v>25</v>
      </c>
      <c r="Q953" s="3" t="s">
        <v>5568</v>
      </c>
    </row>
    <row r="954" spans="1:17">
      <c r="A954" s="3">
        <v>5629289</v>
      </c>
      <c r="B954" s="3" t="s">
        <v>4374</v>
      </c>
      <c r="C954" s="3" t="str">
        <f>"9781626235076"</f>
        <v>9781626235076</v>
      </c>
      <c r="D954" s="3" t="str">
        <f>"9781626235106"</f>
        <v>9781626235106</v>
      </c>
      <c r="E954" s="3" t="s">
        <v>4300</v>
      </c>
      <c r="F954" s="3" t="s">
        <v>4300</v>
      </c>
      <c r="G954" s="4">
        <v>43489</v>
      </c>
      <c r="H954" s="3" t="s">
        <v>20</v>
      </c>
      <c r="I954" s="3">
        <v>1</v>
      </c>
      <c r="J954" s="3"/>
      <c r="K954" s="3" t="s">
        <v>4375</v>
      </c>
      <c r="L954" s="3" t="s">
        <v>204</v>
      </c>
      <c r="M954" s="3" t="s">
        <v>4376</v>
      </c>
      <c r="N954" s="3">
        <v>617.56059000000005</v>
      </c>
      <c r="O954" s="3" t="s">
        <v>4377</v>
      </c>
      <c r="P954" s="3" t="s">
        <v>25</v>
      </c>
      <c r="Q954" s="3" t="s">
        <v>5569</v>
      </c>
    </row>
    <row r="955" spans="1:17">
      <c r="A955" s="3">
        <v>5716556</v>
      </c>
      <c r="B955" s="3" t="s">
        <v>4378</v>
      </c>
      <c r="C955" s="3" t="str">
        <f>""</f>
        <v/>
      </c>
      <c r="D955" s="3" t="str">
        <f>"9781944883317"</f>
        <v>9781944883317</v>
      </c>
      <c r="E955" s="3" t="s">
        <v>2914</v>
      </c>
      <c r="F955" s="3" t="s">
        <v>2914</v>
      </c>
      <c r="G955" s="4">
        <v>43440</v>
      </c>
      <c r="H955" s="3" t="s">
        <v>20</v>
      </c>
      <c r="I955" s="3">
        <v>3</v>
      </c>
      <c r="J955" s="3"/>
      <c r="K955" s="3" t="s">
        <v>4379</v>
      </c>
      <c r="L955" s="3" t="s">
        <v>204</v>
      </c>
      <c r="M955" s="3" t="s">
        <v>4380</v>
      </c>
      <c r="N955" s="3">
        <v>616.85500000000002</v>
      </c>
      <c r="O955" s="3" t="s">
        <v>4381</v>
      </c>
      <c r="P955" s="3" t="s">
        <v>25</v>
      </c>
      <c r="Q955" s="3" t="s">
        <v>5570</v>
      </c>
    </row>
    <row r="956" spans="1:17">
      <c r="A956" s="3">
        <v>5716777</v>
      </c>
      <c r="B956" s="3" t="s">
        <v>4382</v>
      </c>
      <c r="C956" s="3" t="str">
        <f>"9781682178225"</f>
        <v>9781682178225</v>
      </c>
      <c r="D956" s="3" t="str">
        <f>"9781682178232"</f>
        <v>9781682178232</v>
      </c>
      <c r="E956" s="3" t="s">
        <v>3341</v>
      </c>
      <c r="F956" s="3" t="s">
        <v>3341</v>
      </c>
      <c r="G956" s="4">
        <v>43374</v>
      </c>
      <c r="H956" s="3" t="s">
        <v>20</v>
      </c>
      <c r="I956" s="3">
        <v>172</v>
      </c>
      <c r="J956" s="3"/>
      <c r="K956" s="3" t="s">
        <v>4383</v>
      </c>
      <c r="L956" s="3" t="s">
        <v>4384</v>
      </c>
      <c r="M956" s="3" t="s">
        <v>4385</v>
      </c>
      <c r="N956" s="3">
        <v>917.10024999999996</v>
      </c>
      <c r="O956" s="3" t="s">
        <v>4386</v>
      </c>
      <c r="P956" s="3" t="s">
        <v>25</v>
      </c>
      <c r="Q956" s="3" t="s">
        <v>5571</v>
      </c>
    </row>
    <row r="957" spans="1:17">
      <c r="A957" s="3">
        <v>5725505</v>
      </c>
      <c r="B957" s="3" t="s">
        <v>4387</v>
      </c>
      <c r="C957" s="3" t="str">
        <f>"9781635501315"</f>
        <v>9781635501315</v>
      </c>
      <c r="D957" s="3" t="str">
        <f>"9781635501322"</f>
        <v>9781635501322</v>
      </c>
      <c r="E957" s="3" t="s">
        <v>2914</v>
      </c>
      <c r="F957" s="3" t="s">
        <v>2914</v>
      </c>
      <c r="G957" s="4">
        <v>43537</v>
      </c>
      <c r="H957" s="3" t="s">
        <v>20</v>
      </c>
      <c r="I957" s="3">
        <v>2</v>
      </c>
      <c r="J957" s="3"/>
      <c r="K957" s="3" t="s">
        <v>4388</v>
      </c>
      <c r="L957" s="3" t="s">
        <v>204</v>
      </c>
      <c r="M957" s="3" t="s">
        <v>4389</v>
      </c>
      <c r="N957" s="3" t="s">
        <v>4390</v>
      </c>
      <c r="O957" s="3"/>
      <c r="P957" s="3" t="s">
        <v>25</v>
      </c>
      <c r="Q957" s="3" t="s">
        <v>5572</v>
      </c>
    </row>
    <row r="958" spans="1:17">
      <c r="A958" s="3">
        <v>5725512</v>
      </c>
      <c r="B958" s="3" t="s">
        <v>4391</v>
      </c>
      <c r="C958" s="3" t="str">
        <f>"9781944883898"</f>
        <v>9781944883898</v>
      </c>
      <c r="D958" s="3" t="str">
        <f>"9781944883904"</f>
        <v>9781944883904</v>
      </c>
      <c r="E958" s="3" t="s">
        <v>2914</v>
      </c>
      <c r="F958" s="3" t="s">
        <v>2914</v>
      </c>
      <c r="G958" s="4">
        <v>43099</v>
      </c>
      <c r="H958" s="3" t="s">
        <v>20</v>
      </c>
      <c r="I958" s="3">
        <v>3</v>
      </c>
      <c r="J958" s="3"/>
      <c r="K958" s="3" t="s">
        <v>4392</v>
      </c>
      <c r="L958" s="3" t="s">
        <v>204</v>
      </c>
      <c r="M958" s="3" t="s">
        <v>4393</v>
      </c>
      <c r="N958" s="3" t="s">
        <v>4394</v>
      </c>
      <c r="O958" s="3"/>
      <c r="P958" s="3" t="s">
        <v>25</v>
      </c>
      <c r="Q958" s="3" t="s">
        <v>5573</v>
      </c>
    </row>
    <row r="959" spans="1:17">
      <c r="A959" s="3">
        <v>5733106</v>
      </c>
      <c r="B959" s="3" t="s">
        <v>4395</v>
      </c>
      <c r="C959" s="3" t="str">
        <f>"9780879466718"</f>
        <v>9780879466718</v>
      </c>
      <c r="D959" s="3" t="str">
        <f>"9780879466732"</f>
        <v>9780879466732</v>
      </c>
      <c r="E959" s="3" t="s">
        <v>4396</v>
      </c>
      <c r="F959" s="3" t="s">
        <v>4396</v>
      </c>
      <c r="G959" s="4">
        <v>43547</v>
      </c>
      <c r="H959" s="3" t="s">
        <v>20</v>
      </c>
      <c r="I959" s="3"/>
      <c r="J959" s="3"/>
      <c r="K959" s="3" t="s">
        <v>4397</v>
      </c>
      <c r="L959" s="3" t="s">
        <v>406</v>
      </c>
      <c r="M959" s="3" t="s">
        <v>4398</v>
      </c>
      <c r="N959" s="3">
        <v>796.33209220000003</v>
      </c>
      <c r="O959" s="3" t="s">
        <v>4399</v>
      </c>
      <c r="P959" s="3" t="s">
        <v>25</v>
      </c>
      <c r="Q959" s="3" t="s">
        <v>5574</v>
      </c>
    </row>
    <row r="960" spans="1:17">
      <c r="A960" s="3">
        <v>5741463</v>
      </c>
      <c r="B960" s="3" t="s">
        <v>4400</v>
      </c>
      <c r="C960" s="3" t="str">
        <f>"9781421427317"</f>
        <v>9781421427317</v>
      </c>
      <c r="D960" s="3" t="str">
        <f>"9781421427324"</f>
        <v>9781421427324</v>
      </c>
      <c r="E960" s="3" t="s">
        <v>3379</v>
      </c>
      <c r="F960" s="3" t="s">
        <v>3379</v>
      </c>
      <c r="G960" s="4">
        <v>43557</v>
      </c>
      <c r="H960" s="3" t="s">
        <v>20</v>
      </c>
      <c r="I960" s="3">
        <v>1</v>
      </c>
      <c r="J960" s="3"/>
      <c r="K960" s="3" t="s">
        <v>4401</v>
      </c>
      <c r="L960" s="3" t="s">
        <v>49</v>
      </c>
      <c r="M960" s="3"/>
      <c r="N960" s="3">
        <v>594</v>
      </c>
      <c r="O960" s="3"/>
      <c r="P960" s="3" t="s">
        <v>25</v>
      </c>
      <c r="Q960" s="3" t="s">
        <v>5575</v>
      </c>
    </row>
    <row r="961" spans="1:17">
      <c r="A961" s="3">
        <v>5742367</v>
      </c>
      <c r="B961" s="3" t="s">
        <v>4402</v>
      </c>
      <c r="C961" s="3" t="str">
        <f>"9781503606999"</f>
        <v>9781503606999</v>
      </c>
      <c r="D961" s="3" t="str">
        <f>"9781503609372"</f>
        <v>9781503609372</v>
      </c>
      <c r="E961" s="3" t="s">
        <v>4022</v>
      </c>
      <c r="F961" s="3" t="s">
        <v>4022</v>
      </c>
      <c r="G961" s="4">
        <v>43620</v>
      </c>
      <c r="H961" s="3" t="s">
        <v>20</v>
      </c>
      <c r="I961" s="3">
        <v>1</v>
      </c>
      <c r="J961" s="3"/>
      <c r="K961" s="3" t="s">
        <v>4403</v>
      </c>
      <c r="L961" s="3" t="s">
        <v>22</v>
      </c>
      <c r="M961" s="3" t="s">
        <v>4404</v>
      </c>
      <c r="N961" s="3">
        <v>823.91399999999999</v>
      </c>
      <c r="O961" s="3" t="s">
        <v>4405</v>
      </c>
      <c r="P961" s="3" t="s">
        <v>25</v>
      </c>
      <c r="Q961" s="3" t="s">
        <v>5576</v>
      </c>
    </row>
    <row r="962" spans="1:17">
      <c r="A962" s="3">
        <v>5760529</v>
      </c>
      <c r="B962" s="3" t="s">
        <v>4406</v>
      </c>
      <c r="C962" s="3" t="str">
        <f>"9781682172346"</f>
        <v>9781682172346</v>
      </c>
      <c r="D962" s="3" t="str">
        <f>"9781642653717"</f>
        <v>9781642653717</v>
      </c>
      <c r="E962" s="3" t="s">
        <v>4407</v>
      </c>
      <c r="F962" s="3" t="s">
        <v>4407</v>
      </c>
      <c r="G962" s="4">
        <v>43300</v>
      </c>
      <c r="H962" s="3" t="s">
        <v>20</v>
      </c>
      <c r="I962" s="3">
        <v>22</v>
      </c>
      <c r="J962" s="3"/>
      <c r="K962" s="3" t="s">
        <v>4408</v>
      </c>
      <c r="L962" s="3" t="s">
        <v>2450</v>
      </c>
      <c r="M962" s="3" t="s">
        <v>4409</v>
      </c>
      <c r="N962" s="3">
        <v>25.49</v>
      </c>
      <c r="O962" s="3" t="s">
        <v>4410</v>
      </c>
      <c r="P962" s="3" t="s">
        <v>25</v>
      </c>
      <c r="Q962" s="3" t="s">
        <v>5577</v>
      </c>
    </row>
    <row r="963" spans="1:17">
      <c r="A963" s="3">
        <v>5772346</v>
      </c>
      <c r="B963" s="3" t="s">
        <v>4411</v>
      </c>
      <c r="C963" s="3" t="str">
        <f>"9781468309638"</f>
        <v>9781468309638</v>
      </c>
      <c r="D963" s="3" t="str">
        <f>"9781468311952"</f>
        <v>9781468311952</v>
      </c>
      <c r="E963" s="3" t="s">
        <v>4412</v>
      </c>
      <c r="F963" s="3" t="s">
        <v>4413</v>
      </c>
      <c r="G963" s="4">
        <v>41955</v>
      </c>
      <c r="H963" s="3" t="s">
        <v>20</v>
      </c>
      <c r="I963" s="3"/>
      <c r="J963" s="3"/>
      <c r="K963" s="3" t="s">
        <v>4414</v>
      </c>
      <c r="L963" s="3" t="s">
        <v>514</v>
      </c>
      <c r="M963" s="3"/>
      <c r="N963" s="3">
        <v>150.1952</v>
      </c>
      <c r="O963" s="3"/>
      <c r="P963" s="3" t="s">
        <v>25</v>
      </c>
      <c r="Q963" s="3" t="s">
        <v>5578</v>
      </c>
    </row>
    <row r="964" spans="1:17">
      <c r="A964" s="3">
        <v>5790645</v>
      </c>
      <c r="B964" s="3" t="s">
        <v>4415</v>
      </c>
      <c r="C964" s="3" t="str">
        <f>"9781615372256"</f>
        <v>9781615372256</v>
      </c>
      <c r="D964" s="3" t="str">
        <f>"9781615372539"</f>
        <v>9781615372539</v>
      </c>
      <c r="E964" s="3" t="s">
        <v>4416</v>
      </c>
      <c r="F964" s="3" t="s">
        <v>4416</v>
      </c>
      <c r="G964" s="4">
        <v>43574</v>
      </c>
      <c r="H964" s="3" t="s">
        <v>20</v>
      </c>
      <c r="I964" s="3">
        <v>1</v>
      </c>
      <c r="J964" s="3"/>
      <c r="K964" s="3" t="s">
        <v>4417</v>
      </c>
      <c r="L964" s="3" t="s">
        <v>317</v>
      </c>
      <c r="M964" s="3" t="s">
        <v>4418</v>
      </c>
      <c r="N964" s="3">
        <v>616.85852</v>
      </c>
      <c r="O964" s="3" t="s">
        <v>4419</v>
      </c>
      <c r="P964" s="3" t="s">
        <v>25</v>
      </c>
      <c r="Q964" s="3" t="s">
        <v>5579</v>
      </c>
    </row>
    <row r="965" spans="1:17">
      <c r="A965" s="3">
        <v>5797077</v>
      </c>
      <c r="B965" s="3" t="s">
        <v>4420</v>
      </c>
      <c r="C965" s="3" t="str">
        <f>"9781936976867"</f>
        <v>9781936976867</v>
      </c>
      <c r="D965" s="3" t="str">
        <f>"9781936976959"</f>
        <v>9781936976959</v>
      </c>
      <c r="E965" s="3" t="s">
        <v>4421</v>
      </c>
      <c r="F965" s="3" t="s">
        <v>4422</v>
      </c>
      <c r="G965" s="4">
        <v>42217</v>
      </c>
      <c r="H965" s="3" t="s">
        <v>20</v>
      </c>
      <c r="I965" s="3">
        <v>1</v>
      </c>
      <c r="J965" s="3"/>
      <c r="K965" s="3" t="s">
        <v>4423</v>
      </c>
      <c r="L965" s="3" t="s">
        <v>22</v>
      </c>
      <c r="M965" s="3"/>
      <c r="N965" s="3" t="s">
        <v>4424</v>
      </c>
      <c r="O965" s="3"/>
      <c r="P965" s="3" t="s">
        <v>25</v>
      </c>
      <c r="Q965" s="3" t="s">
        <v>5580</v>
      </c>
    </row>
    <row r="966" spans="1:17">
      <c r="A966" s="3">
        <v>5829231</v>
      </c>
      <c r="B966" s="3" t="s">
        <v>4425</v>
      </c>
      <c r="C966" s="3" t="str">
        <f>"9781496389589"</f>
        <v>9781496389589</v>
      </c>
      <c r="D966" s="3" t="str">
        <f>"9781496389596"</f>
        <v>9781496389596</v>
      </c>
      <c r="E966" s="3" t="s">
        <v>4239</v>
      </c>
      <c r="F966" s="3" t="s">
        <v>4239</v>
      </c>
      <c r="G966" s="4">
        <v>43209</v>
      </c>
      <c r="H966" s="3" t="s">
        <v>20</v>
      </c>
      <c r="I966" s="3">
        <v>7</v>
      </c>
      <c r="J966" s="3"/>
      <c r="K966" s="3" t="s">
        <v>4426</v>
      </c>
      <c r="L966" s="3" t="s">
        <v>2744</v>
      </c>
      <c r="M966" s="3" t="s">
        <v>4427</v>
      </c>
      <c r="N966" s="3" t="s">
        <v>4428</v>
      </c>
      <c r="O966" s="3" t="s">
        <v>4429</v>
      </c>
      <c r="P966" s="3" t="s">
        <v>25</v>
      </c>
      <c r="Q966" s="3" t="s">
        <v>5581</v>
      </c>
    </row>
    <row r="967" spans="1:17">
      <c r="A967" s="3">
        <v>5841221</v>
      </c>
      <c r="B967" s="3" t="s">
        <v>4430</v>
      </c>
      <c r="C967" s="3" t="str">
        <f>"9781641891837"</f>
        <v>9781641891837</v>
      </c>
      <c r="D967" s="3" t="str">
        <f>"9781641891844"</f>
        <v>9781641891844</v>
      </c>
      <c r="E967" s="3" t="s">
        <v>4431</v>
      </c>
      <c r="F967" s="3" t="s">
        <v>4431</v>
      </c>
      <c r="G967" s="4">
        <v>43677</v>
      </c>
      <c r="H967" s="3" t="s">
        <v>20</v>
      </c>
      <c r="I967" s="3">
        <v>1</v>
      </c>
      <c r="J967" s="3" t="s">
        <v>4432</v>
      </c>
      <c r="K967" s="3" t="s">
        <v>4433</v>
      </c>
      <c r="L967" s="3" t="s">
        <v>22</v>
      </c>
      <c r="M967" s="3" t="s">
        <v>4434</v>
      </c>
      <c r="N967" s="3">
        <v>809.02</v>
      </c>
      <c r="O967" s="3"/>
      <c r="P967" s="3" t="s">
        <v>25</v>
      </c>
      <c r="Q967" s="3" t="s">
        <v>5582</v>
      </c>
    </row>
    <row r="968" spans="1:17">
      <c r="A968" s="3">
        <v>5845651</v>
      </c>
      <c r="B968" s="3" t="s">
        <v>4435</v>
      </c>
      <c r="C968" s="3" t="str">
        <f>""</f>
        <v/>
      </c>
      <c r="D968" s="3" t="str">
        <f>"9781784917586"</f>
        <v>9781784917586</v>
      </c>
      <c r="E968" s="3" t="s">
        <v>4436</v>
      </c>
      <c r="F968" s="3" t="s">
        <v>4436</v>
      </c>
      <c r="G968" s="4">
        <v>43131</v>
      </c>
      <c r="H968" s="3" t="s">
        <v>20</v>
      </c>
      <c r="I968" s="3">
        <v>1</v>
      </c>
      <c r="J968" s="3"/>
      <c r="K968" s="3" t="s">
        <v>4437</v>
      </c>
      <c r="L968" s="3" t="s">
        <v>58</v>
      </c>
      <c r="M968" s="3" t="s">
        <v>4438</v>
      </c>
      <c r="N968" s="3">
        <v>940.1</v>
      </c>
      <c r="O968" s="3" t="s">
        <v>4439</v>
      </c>
      <c r="P968" s="3" t="s">
        <v>25</v>
      </c>
      <c r="Q968" s="3" t="s">
        <v>5583</v>
      </c>
    </row>
    <row r="969" spans="1:17">
      <c r="A969" s="3">
        <v>5890287</v>
      </c>
      <c r="B969" s="3" t="s">
        <v>4440</v>
      </c>
      <c r="C969" s="3" t="str">
        <f>""</f>
        <v/>
      </c>
      <c r="D969" s="3" t="str">
        <f>"9780795347238"</f>
        <v>9780795347238</v>
      </c>
      <c r="E969" s="3" t="s">
        <v>4441</v>
      </c>
      <c r="F969" s="3" t="s">
        <v>4441</v>
      </c>
      <c r="G969" s="4">
        <v>42185</v>
      </c>
      <c r="H969" s="3" t="s">
        <v>20</v>
      </c>
      <c r="I969" s="3"/>
      <c r="J969" s="3"/>
      <c r="K969" s="3" t="s">
        <v>4442</v>
      </c>
      <c r="L969" s="3" t="s">
        <v>58</v>
      </c>
      <c r="M969" s="3" t="s">
        <v>4443</v>
      </c>
      <c r="N969" s="3">
        <v>941.08409200000006</v>
      </c>
      <c r="O969" s="3" t="s">
        <v>4444</v>
      </c>
      <c r="P969" s="3" t="s">
        <v>25</v>
      </c>
      <c r="Q969" s="3" t="s">
        <v>5584</v>
      </c>
    </row>
    <row r="970" spans="1:17">
      <c r="A970" s="3">
        <v>5928812</v>
      </c>
      <c r="B970" s="3" t="s">
        <v>4445</v>
      </c>
      <c r="C970" s="3" t="str">
        <f>"9781641823869"</f>
        <v>9781641823869</v>
      </c>
      <c r="D970" s="3" t="str">
        <f>"9781645369615"</f>
        <v>9781645369615</v>
      </c>
      <c r="E970" s="3" t="s">
        <v>4446</v>
      </c>
      <c r="F970" s="3" t="s">
        <v>4446</v>
      </c>
      <c r="G970" s="4">
        <v>43524</v>
      </c>
      <c r="H970" s="3" t="s">
        <v>20</v>
      </c>
      <c r="I970" s="3"/>
      <c r="J970" s="3"/>
      <c r="K970" s="3" t="s">
        <v>4447</v>
      </c>
      <c r="L970" s="3" t="s">
        <v>43</v>
      </c>
      <c r="M970" s="3" t="s">
        <v>4448</v>
      </c>
      <c r="N970" s="3">
        <v>703</v>
      </c>
      <c r="O970" s="3" t="s">
        <v>4449</v>
      </c>
      <c r="P970" s="3" t="s">
        <v>25</v>
      </c>
      <c r="Q970" s="3" t="s">
        <v>5585</v>
      </c>
    </row>
    <row r="971" spans="1:17">
      <c r="A971" s="3">
        <v>5939409</v>
      </c>
      <c r="B971" s="3" t="s">
        <v>4450</v>
      </c>
      <c r="C971" s="3" t="str">
        <f>"9783132415621"</f>
        <v>9783132415621</v>
      </c>
      <c r="D971" s="3" t="str">
        <f>"9783132415638"</f>
        <v>9783132415638</v>
      </c>
      <c r="E971" s="3" t="s">
        <v>4300</v>
      </c>
      <c r="F971" s="3" t="s">
        <v>4300</v>
      </c>
      <c r="G971" s="4">
        <v>43747</v>
      </c>
      <c r="H971" s="3" t="s">
        <v>20</v>
      </c>
      <c r="I971" s="3">
        <v>1</v>
      </c>
      <c r="J971" s="3"/>
      <c r="K971" s="3" t="s">
        <v>4451</v>
      </c>
      <c r="L971" s="3" t="s">
        <v>204</v>
      </c>
      <c r="M971" s="3" t="s">
        <v>4452</v>
      </c>
      <c r="N971" s="3">
        <v>617.51400000000001</v>
      </c>
      <c r="O971" s="3" t="s">
        <v>4453</v>
      </c>
      <c r="P971" s="3" t="s">
        <v>25</v>
      </c>
      <c r="Q971" s="3" t="s">
        <v>5586</v>
      </c>
    </row>
    <row r="972" spans="1:17">
      <c r="A972" s="3">
        <v>5944633</v>
      </c>
      <c r="B972" s="3" t="s">
        <v>4454</v>
      </c>
      <c r="C972" s="3" t="str">
        <f>"9781496321060"</f>
        <v>9781496321060</v>
      </c>
      <c r="D972" s="3" t="str">
        <f>"9781496367365"</f>
        <v>9781496367365</v>
      </c>
      <c r="E972" s="3" t="s">
        <v>4239</v>
      </c>
      <c r="F972" s="3" t="s">
        <v>4239</v>
      </c>
      <c r="G972" s="4">
        <v>43372</v>
      </c>
      <c r="H972" s="3" t="s">
        <v>20</v>
      </c>
      <c r="I972" s="3">
        <v>2</v>
      </c>
      <c r="J972" s="3"/>
      <c r="K972" s="3" t="s">
        <v>4455</v>
      </c>
      <c r="L972" s="3" t="s">
        <v>204</v>
      </c>
      <c r="M972" s="3"/>
      <c r="N972" s="3"/>
      <c r="O972" s="3"/>
      <c r="P972" s="3" t="s">
        <v>25</v>
      </c>
      <c r="Q972" s="3" t="s">
        <v>5587</v>
      </c>
    </row>
    <row r="973" spans="1:17">
      <c r="A973" s="3">
        <v>5945871</v>
      </c>
      <c r="B973" s="3" t="s">
        <v>4456</v>
      </c>
      <c r="C973" s="3" t="str">
        <f>"9781496217141"</f>
        <v>9781496217141</v>
      </c>
      <c r="D973" s="3" t="str">
        <f>"9781496218537"</f>
        <v>9781496218537</v>
      </c>
      <c r="E973" s="3" t="s">
        <v>3290</v>
      </c>
      <c r="F973" s="3" t="s">
        <v>3291</v>
      </c>
      <c r="G973" s="4">
        <v>43800</v>
      </c>
      <c r="H973" s="3" t="s">
        <v>20</v>
      </c>
      <c r="I973" s="3">
        <v>2</v>
      </c>
      <c r="J973" s="3" t="s">
        <v>4457</v>
      </c>
      <c r="K973" s="3" t="s">
        <v>4458</v>
      </c>
      <c r="L973" s="3" t="s">
        <v>22</v>
      </c>
      <c r="M973" s="3" t="s">
        <v>4459</v>
      </c>
      <c r="N973" s="3">
        <v>808.03599999999994</v>
      </c>
      <c r="O973" s="3" t="s">
        <v>4460</v>
      </c>
      <c r="P973" s="3" t="s">
        <v>25</v>
      </c>
      <c r="Q973" s="3" t="s">
        <v>5588</v>
      </c>
    </row>
    <row r="974" spans="1:17">
      <c r="A974" s="3">
        <v>5965808</v>
      </c>
      <c r="B974" s="3" t="s">
        <v>4461</v>
      </c>
      <c r="C974" s="3" t="str">
        <f>"9781944480530"</f>
        <v>9781944480530</v>
      </c>
      <c r="D974" s="3" t="str">
        <f>"9781944480554"</f>
        <v>9781944480554</v>
      </c>
      <c r="E974" s="3" t="s">
        <v>4462</v>
      </c>
      <c r="F974" s="3" t="s">
        <v>4462</v>
      </c>
      <c r="G974" s="4">
        <v>43799</v>
      </c>
      <c r="H974" s="3" t="s">
        <v>20</v>
      </c>
      <c r="I974" s="3">
        <v>2</v>
      </c>
      <c r="J974" s="3"/>
      <c r="K974" s="3" t="s">
        <v>4463</v>
      </c>
      <c r="L974" s="3" t="s">
        <v>4464</v>
      </c>
      <c r="M974" s="3"/>
      <c r="N974" s="3"/>
      <c r="O974" s="3"/>
      <c r="P974" s="3" t="s">
        <v>25</v>
      </c>
      <c r="Q974" s="3" t="s">
        <v>5589</v>
      </c>
    </row>
    <row r="975" spans="1:17">
      <c r="A975" s="3">
        <v>5973423</v>
      </c>
      <c r="B975" s="3" t="s">
        <v>4465</v>
      </c>
      <c r="C975" s="3" t="str">
        <f>"9781535934718"</f>
        <v>9781535934718</v>
      </c>
      <c r="D975" s="3" t="str">
        <f>"9781535934725"</f>
        <v>9781535934725</v>
      </c>
      <c r="E975" s="3" t="s">
        <v>4466</v>
      </c>
      <c r="F975" s="3" t="s">
        <v>4467</v>
      </c>
      <c r="G975" s="4">
        <v>43616</v>
      </c>
      <c r="H975" s="3" t="s">
        <v>20</v>
      </c>
      <c r="I975" s="3">
        <v>1</v>
      </c>
      <c r="J975" s="3"/>
      <c r="K975" s="3" t="s">
        <v>4468</v>
      </c>
      <c r="L975" s="3" t="s">
        <v>118</v>
      </c>
      <c r="M975" s="3"/>
      <c r="N975" s="3"/>
      <c r="O975" s="3"/>
      <c r="P975" s="3" t="s">
        <v>25</v>
      </c>
      <c r="Q975" s="3" t="s">
        <v>5590</v>
      </c>
    </row>
    <row r="976" spans="1:17">
      <c r="A976" s="3">
        <v>5973894</v>
      </c>
      <c r="B976" s="3" t="s">
        <v>4469</v>
      </c>
      <c r="C976" s="3" t="str">
        <f>"9789004414488"</f>
        <v>9789004414488</v>
      </c>
      <c r="D976" s="3" t="str">
        <f>"9789004415089"</f>
        <v>9789004415089</v>
      </c>
      <c r="E976" s="3" t="s">
        <v>611</v>
      </c>
      <c r="F976" s="3" t="s">
        <v>611</v>
      </c>
      <c r="G976" s="4">
        <v>43783</v>
      </c>
      <c r="H976" s="3" t="s">
        <v>20</v>
      </c>
      <c r="I976" s="3">
        <v>1</v>
      </c>
      <c r="J976" s="3" t="s">
        <v>612</v>
      </c>
      <c r="K976" s="3" t="s">
        <v>4470</v>
      </c>
      <c r="L976" s="3" t="s">
        <v>354</v>
      </c>
      <c r="M976" s="3" t="s">
        <v>4471</v>
      </c>
      <c r="N976" s="3">
        <v>343.06599999999997</v>
      </c>
      <c r="O976" s="3" t="s">
        <v>4472</v>
      </c>
      <c r="P976" s="3" t="s">
        <v>25</v>
      </c>
      <c r="Q976" s="3" t="s">
        <v>5591</v>
      </c>
    </row>
    <row r="977" spans="1:17">
      <c r="A977" s="3">
        <v>5974329</v>
      </c>
      <c r="B977" s="3" t="s">
        <v>4473</v>
      </c>
      <c r="C977" s="3" t="str">
        <f>"9780664259938"</f>
        <v>9780664259938</v>
      </c>
      <c r="D977" s="3" t="str">
        <f>"9781611647990"</f>
        <v>9781611647990</v>
      </c>
      <c r="E977" s="3" t="s">
        <v>4474</v>
      </c>
      <c r="F977" s="3" t="s">
        <v>4475</v>
      </c>
      <c r="G977" s="4">
        <v>42811</v>
      </c>
      <c r="H977" s="3" t="s">
        <v>20</v>
      </c>
      <c r="I977" s="3"/>
      <c r="J977" s="3"/>
      <c r="K977" s="3" t="s">
        <v>4476</v>
      </c>
      <c r="L977" s="3" t="s">
        <v>118</v>
      </c>
      <c r="M977" s="3"/>
      <c r="N977" s="3"/>
      <c r="O977" s="3"/>
      <c r="P977" s="3" t="s">
        <v>25</v>
      </c>
      <c r="Q977" s="3" t="s">
        <v>5592</v>
      </c>
    </row>
    <row r="978" spans="1:17">
      <c r="A978" s="3">
        <v>6010908</v>
      </c>
      <c r="B978" s="3" t="s">
        <v>4477</v>
      </c>
      <c r="C978" s="3" t="str">
        <f>"9781527543362"</f>
        <v>9781527543362</v>
      </c>
      <c r="D978" s="3" t="str">
        <f>"9781527544512"</f>
        <v>9781527544512</v>
      </c>
      <c r="E978" s="3" t="s">
        <v>4145</v>
      </c>
      <c r="F978" s="3" t="s">
        <v>4145</v>
      </c>
      <c r="G978" s="4">
        <v>43840</v>
      </c>
      <c r="H978" s="3" t="s">
        <v>20</v>
      </c>
      <c r="I978" s="3"/>
      <c r="J978" s="3"/>
      <c r="K978" s="3" t="s">
        <v>4478</v>
      </c>
      <c r="L978" s="3" t="s">
        <v>4479</v>
      </c>
      <c r="M978" s="3" t="s">
        <v>4480</v>
      </c>
      <c r="N978" s="3">
        <v>621.48</v>
      </c>
      <c r="O978" s="3" t="s">
        <v>4481</v>
      </c>
      <c r="P978" s="3" t="s">
        <v>25</v>
      </c>
      <c r="Q978" s="3" t="s">
        <v>5593</v>
      </c>
    </row>
    <row r="979" spans="1:17">
      <c r="A979" s="3">
        <v>6122292</v>
      </c>
      <c r="B979" s="3" t="s">
        <v>4482</v>
      </c>
      <c r="C979" s="3" t="str">
        <f>"9780253047311"</f>
        <v>9780253047311</v>
      </c>
      <c r="D979" s="3" t="str">
        <f>"9780253047359"</f>
        <v>9780253047359</v>
      </c>
      <c r="E979" s="3" t="s">
        <v>2432</v>
      </c>
      <c r="F979" s="3" t="s">
        <v>2432</v>
      </c>
      <c r="G979" s="4">
        <v>43893</v>
      </c>
      <c r="H979" s="3" t="s">
        <v>20</v>
      </c>
      <c r="I979" s="3">
        <v>2</v>
      </c>
      <c r="J979" s="3"/>
      <c r="K979" s="3" t="s">
        <v>4483</v>
      </c>
      <c r="L979" s="3" t="s">
        <v>43</v>
      </c>
      <c r="M979" s="3" t="s">
        <v>4484</v>
      </c>
      <c r="N979" s="3" t="s">
        <v>4485</v>
      </c>
      <c r="O979" s="3" t="s">
        <v>4486</v>
      </c>
      <c r="P979" s="3" t="s">
        <v>25</v>
      </c>
      <c r="Q979" s="3" t="s">
        <v>5594</v>
      </c>
    </row>
    <row r="980" spans="1:17">
      <c r="A980" s="3">
        <v>6144144</v>
      </c>
      <c r="B980" s="3" t="s">
        <v>4487</v>
      </c>
      <c r="C980" s="3" t="str">
        <f>"9781978820739"</f>
        <v>9781978820739</v>
      </c>
      <c r="D980" s="3" t="str">
        <f>"9781978820760"</f>
        <v>9781978820760</v>
      </c>
      <c r="E980" s="3" t="s">
        <v>2840</v>
      </c>
      <c r="F980" s="3" t="s">
        <v>2840</v>
      </c>
      <c r="G980" s="4">
        <v>43896</v>
      </c>
      <c r="H980" s="3" t="s">
        <v>20</v>
      </c>
      <c r="I980" s="3">
        <v>1</v>
      </c>
      <c r="J980" s="3"/>
      <c r="K980" s="3" t="s">
        <v>4488</v>
      </c>
      <c r="L980" s="3" t="s">
        <v>219</v>
      </c>
      <c r="M980" s="3" t="s">
        <v>4489</v>
      </c>
      <c r="N980" s="3" t="s">
        <v>4490</v>
      </c>
      <c r="O980" s="3"/>
      <c r="P980" s="3" t="s">
        <v>25</v>
      </c>
      <c r="Q980" s="3" t="s">
        <v>5595</v>
      </c>
    </row>
    <row r="981" spans="1:17">
      <c r="A981" s="3">
        <v>6178487</v>
      </c>
      <c r="B981" s="3" t="s">
        <v>4491</v>
      </c>
      <c r="C981" s="3" t="str">
        <f>"9781535982238"</f>
        <v>9781535982238</v>
      </c>
      <c r="D981" s="3" t="str">
        <f>"9781535982245"</f>
        <v>9781535982245</v>
      </c>
      <c r="E981" s="3" t="s">
        <v>4466</v>
      </c>
      <c r="F981" s="3" t="s">
        <v>4492</v>
      </c>
      <c r="G981" s="4">
        <v>43952</v>
      </c>
      <c r="H981" s="3" t="s">
        <v>20</v>
      </c>
      <c r="I981" s="3">
        <v>1</v>
      </c>
      <c r="J981" s="3"/>
      <c r="K981" s="3" t="s">
        <v>4493</v>
      </c>
      <c r="L981" s="3" t="s">
        <v>118</v>
      </c>
      <c r="M981" s="3" t="s">
        <v>4494</v>
      </c>
      <c r="N981" s="3">
        <v>230.03</v>
      </c>
      <c r="O981" s="3" t="s">
        <v>4495</v>
      </c>
      <c r="P981" s="3" t="s">
        <v>25</v>
      </c>
      <c r="Q981" s="3" t="s">
        <v>5596</v>
      </c>
    </row>
    <row r="982" spans="1:17">
      <c r="A982" s="3">
        <v>6207170</v>
      </c>
      <c r="B982" s="3" t="s">
        <v>4496</v>
      </c>
      <c r="C982" s="3" t="str">
        <f>"9781619544734"</f>
        <v>9781619544734</v>
      </c>
      <c r="D982" s="3" t="str">
        <f>"9781619544741"</f>
        <v>9781619544741</v>
      </c>
      <c r="E982" s="3" t="s">
        <v>4497</v>
      </c>
      <c r="F982" s="3" t="s">
        <v>4497</v>
      </c>
      <c r="G982" s="4">
        <v>42619</v>
      </c>
      <c r="H982" s="3" t="s">
        <v>20</v>
      </c>
      <c r="I982" s="3">
        <v>1</v>
      </c>
      <c r="J982" s="3"/>
      <c r="K982" s="3" t="s">
        <v>4498</v>
      </c>
      <c r="L982" s="3" t="s">
        <v>4499</v>
      </c>
      <c r="M982" s="3"/>
      <c r="N982" s="3"/>
      <c r="O982" s="3"/>
      <c r="P982" s="3" t="s">
        <v>25</v>
      </c>
      <c r="Q982" s="3" t="s">
        <v>5597</v>
      </c>
    </row>
    <row r="983" spans="1:17">
      <c r="A983" s="3">
        <v>6261157</v>
      </c>
      <c r="B983" s="3" t="s">
        <v>4500</v>
      </c>
      <c r="C983" s="3" t="str">
        <f>"9781476681184"</f>
        <v>9781476681184</v>
      </c>
      <c r="D983" s="3" t="str">
        <f>"9781476639260"</f>
        <v>9781476639260</v>
      </c>
      <c r="E983" s="3" t="s">
        <v>828</v>
      </c>
      <c r="F983" s="3" t="s">
        <v>828</v>
      </c>
      <c r="G983" s="4">
        <v>44025</v>
      </c>
      <c r="H983" s="3" t="s">
        <v>20</v>
      </c>
      <c r="I983" s="3">
        <v>1</v>
      </c>
      <c r="J983" s="3"/>
      <c r="K983" s="3" t="s">
        <v>1297</v>
      </c>
      <c r="L983" s="3" t="s">
        <v>43</v>
      </c>
      <c r="M983" s="3" t="s">
        <v>4501</v>
      </c>
      <c r="N983" s="3">
        <v>791.4375</v>
      </c>
      <c r="O983" s="3" t="s">
        <v>4502</v>
      </c>
      <c r="P983" s="3" t="s">
        <v>25</v>
      </c>
      <c r="Q983" s="3" t="s">
        <v>5598</v>
      </c>
    </row>
    <row r="984" spans="1:17">
      <c r="A984" s="3">
        <v>6269761</v>
      </c>
      <c r="B984" s="3" t="s">
        <v>4503</v>
      </c>
      <c r="C984" s="3" t="str">
        <f>"9781476683096"</f>
        <v>9781476683096</v>
      </c>
      <c r="D984" s="3" t="str">
        <f>"9781476640877"</f>
        <v>9781476640877</v>
      </c>
      <c r="E984" s="3" t="s">
        <v>828</v>
      </c>
      <c r="F984" s="3" t="s">
        <v>828</v>
      </c>
      <c r="G984" s="4">
        <v>44039</v>
      </c>
      <c r="H984" s="3" t="s">
        <v>20</v>
      </c>
      <c r="I984" s="3">
        <v>1</v>
      </c>
      <c r="J984" s="3"/>
      <c r="K984" s="3" t="s">
        <v>1715</v>
      </c>
      <c r="L984" s="3" t="s">
        <v>118</v>
      </c>
      <c r="M984" s="3" t="s">
        <v>4504</v>
      </c>
      <c r="N984" s="3">
        <v>206.5703</v>
      </c>
      <c r="O984" s="3" t="s">
        <v>4505</v>
      </c>
      <c r="P984" s="3" t="s">
        <v>25</v>
      </c>
      <c r="Q984" s="3" t="s">
        <v>5599</v>
      </c>
    </row>
    <row r="985" spans="1:17">
      <c r="A985" s="3">
        <v>6276021</v>
      </c>
      <c r="B985" s="3" t="s">
        <v>4506</v>
      </c>
      <c r="C985" s="3" t="str">
        <f>"9789004430952"</f>
        <v>9789004430952</v>
      </c>
      <c r="D985" s="3" t="str">
        <f>"9789004430976"</f>
        <v>9789004430976</v>
      </c>
      <c r="E985" s="3" t="s">
        <v>611</v>
      </c>
      <c r="F985" s="3" t="s">
        <v>611</v>
      </c>
      <c r="G985" s="4">
        <v>44042</v>
      </c>
      <c r="H985" s="3" t="s">
        <v>20</v>
      </c>
      <c r="I985" s="3">
        <v>1</v>
      </c>
      <c r="J985" s="3" t="s">
        <v>4507</v>
      </c>
      <c r="K985" s="3" t="s">
        <v>4508</v>
      </c>
      <c r="L985" s="3" t="s">
        <v>616</v>
      </c>
      <c r="M985" s="3"/>
      <c r="N985" s="3"/>
      <c r="O985" s="3"/>
      <c r="P985" s="3" t="s">
        <v>25</v>
      </c>
      <c r="Q985" s="3" t="s">
        <v>5600</v>
      </c>
    </row>
    <row r="986" spans="1:17">
      <c r="A986" s="3">
        <v>6280628</v>
      </c>
      <c r="B986" s="3" t="s">
        <v>4509</v>
      </c>
      <c r="C986" s="3" t="str">
        <f>"9781625110558"</f>
        <v>9781625110558</v>
      </c>
      <c r="D986" s="3" t="str">
        <f>"9781625110565"</f>
        <v>9781625110565</v>
      </c>
      <c r="E986" s="3" t="s">
        <v>4038</v>
      </c>
      <c r="F986" s="3" t="s">
        <v>4038</v>
      </c>
      <c r="G986" s="4">
        <v>44049</v>
      </c>
      <c r="H986" s="3" t="s">
        <v>20</v>
      </c>
      <c r="I986" s="3">
        <v>1</v>
      </c>
      <c r="J986" s="3"/>
      <c r="K986" s="3" t="s">
        <v>4510</v>
      </c>
      <c r="L986" s="3" t="s">
        <v>4511</v>
      </c>
      <c r="M986" s="3" t="s">
        <v>4512</v>
      </c>
      <c r="N986" s="3">
        <v>917.64036050000004</v>
      </c>
      <c r="O986" s="3" t="s">
        <v>4513</v>
      </c>
      <c r="P986" s="3" t="s">
        <v>25</v>
      </c>
      <c r="Q986" s="3" t="s">
        <v>5601</v>
      </c>
    </row>
    <row r="987" spans="1:17">
      <c r="A987" s="3">
        <v>6299727</v>
      </c>
      <c r="B987" s="3" t="s">
        <v>4514</v>
      </c>
      <c r="C987" s="3" t="str">
        <f>"9780826355515"</f>
        <v>9780826355515</v>
      </c>
      <c r="D987" s="3" t="str">
        <f>"9780826355522"</f>
        <v>9780826355522</v>
      </c>
      <c r="E987" s="3" t="s">
        <v>4515</v>
      </c>
      <c r="F987" s="3" t="s">
        <v>4515</v>
      </c>
      <c r="G987" s="4">
        <v>42154</v>
      </c>
      <c r="H987" s="3" t="s">
        <v>20</v>
      </c>
      <c r="I987" s="3">
        <v>1</v>
      </c>
      <c r="J987" s="3"/>
      <c r="K987" s="3" t="s">
        <v>4516</v>
      </c>
      <c r="L987" s="3" t="s">
        <v>64</v>
      </c>
      <c r="M987" s="3" t="s">
        <v>4517</v>
      </c>
      <c r="N987" s="3">
        <v>394.2</v>
      </c>
      <c r="O987" s="3" t="s">
        <v>4518</v>
      </c>
      <c r="P987" s="3" t="s">
        <v>25</v>
      </c>
      <c r="Q987" s="3" t="s">
        <v>5602</v>
      </c>
    </row>
    <row r="988" spans="1:17">
      <c r="A988" s="3">
        <v>6356773</v>
      </c>
      <c r="B988" s="3" t="s">
        <v>4519</v>
      </c>
      <c r="C988" s="3" t="str">
        <f>"9780873899710"</f>
        <v>9780873899710</v>
      </c>
      <c r="D988" s="3" t="str">
        <f>"9781953079374"</f>
        <v>9781953079374</v>
      </c>
      <c r="E988" s="3" t="s">
        <v>4080</v>
      </c>
      <c r="F988" s="3" t="s">
        <v>4080</v>
      </c>
      <c r="G988" s="4">
        <v>43256</v>
      </c>
      <c r="H988" s="3" t="s">
        <v>20</v>
      </c>
      <c r="I988" s="3">
        <v>1</v>
      </c>
      <c r="J988" s="3"/>
      <c r="K988" s="3" t="s">
        <v>4081</v>
      </c>
      <c r="L988" s="3" t="s">
        <v>204</v>
      </c>
      <c r="M988" s="3" t="s">
        <v>4520</v>
      </c>
      <c r="N988" s="3" t="s">
        <v>4521</v>
      </c>
      <c r="O988" s="3" t="s">
        <v>4522</v>
      </c>
      <c r="P988" s="3" t="s">
        <v>25</v>
      </c>
      <c r="Q988" s="3" t="s">
        <v>5603</v>
      </c>
    </row>
    <row r="989" spans="1:17">
      <c r="A989" s="3">
        <v>6370349</v>
      </c>
      <c r="B989" s="3" t="s">
        <v>4523</v>
      </c>
      <c r="C989" s="3" t="str">
        <f>"9781527558533"</f>
        <v>9781527558533</v>
      </c>
      <c r="D989" s="3" t="str">
        <f>"9781527559288"</f>
        <v>9781527559288</v>
      </c>
      <c r="E989" s="3" t="s">
        <v>4145</v>
      </c>
      <c r="F989" s="3" t="s">
        <v>4145</v>
      </c>
      <c r="G989" s="4">
        <v>44120</v>
      </c>
      <c r="H989" s="3" t="s">
        <v>20</v>
      </c>
      <c r="I989" s="3"/>
      <c r="J989" s="3"/>
      <c r="K989" s="3" t="s">
        <v>4524</v>
      </c>
      <c r="L989" s="3" t="s">
        <v>58</v>
      </c>
      <c r="M989" s="3" t="s">
        <v>4525</v>
      </c>
      <c r="N989" s="3">
        <v>929.40891139999997</v>
      </c>
      <c r="O989" s="3" t="s">
        <v>4526</v>
      </c>
      <c r="P989" s="3" t="s">
        <v>25</v>
      </c>
      <c r="Q989" s="3" t="s">
        <v>5604</v>
      </c>
    </row>
    <row r="990" spans="1:17">
      <c r="A990" s="3">
        <v>6376668</v>
      </c>
      <c r="B990" s="3" t="s">
        <v>4527</v>
      </c>
      <c r="C990" s="3" t="str">
        <f>"9781789697629"</f>
        <v>9781789697629</v>
      </c>
      <c r="D990" s="3" t="str">
        <f>"9781789697636"</f>
        <v>9781789697636</v>
      </c>
      <c r="E990" s="3" t="s">
        <v>4436</v>
      </c>
      <c r="F990" s="3" t="s">
        <v>4436</v>
      </c>
      <c r="G990" s="4">
        <v>44119</v>
      </c>
      <c r="H990" s="3" t="s">
        <v>20</v>
      </c>
      <c r="I990" s="3">
        <v>1</v>
      </c>
      <c r="J990" s="3"/>
      <c r="K990" s="3" t="s">
        <v>4528</v>
      </c>
      <c r="L990" s="3" t="s">
        <v>504</v>
      </c>
      <c r="M990" s="3" t="s">
        <v>4529</v>
      </c>
      <c r="N990" s="3">
        <v>473.21</v>
      </c>
      <c r="O990" s="3" t="s">
        <v>4530</v>
      </c>
      <c r="P990" s="3" t="s">
        <v>25</v>
      </c>
      <c r="Q990" s="3" t="s">
        <v>5605</v>
      </c>
    </row>
    <row r="991" spans="1:17">
      <c r="A991" s="3">
        <v>6401997</v>
      </c>
      <c r="B991" s="3" t="s">
        <v>3641</v>
      </c>
      <c r="C991" s="3" t="str">
        <f>"9781760463793"</f>
        <v>9781760463793</v>
      </c>
      <c r="D991" s="3" t="str">
        <f>"9781760463809"</f>
        <v>9781760463809</v>
      </c>
      <c r="E991" s="3" t="s">
        <v>3637</v>
      </c>
      <c r="F991" s="3" t="s">
        <v>3637</v>
      </c>
      <c r="G991" s="4">
        <v>43998</v>
      </c>
      <c r="H991" s="3" t="s">
        <v>20</v>
      </c>
      <c r="I991" s="3">
        <v>8</v>
      </c>
      <c r="J991" s="3" t="s">
        <v>4283</v>
      </c>
      <c r="K991" s="3" t="s">
        <v>3642</v>
      </c>
      <c r="L991" s="3" t="s">
        <v>58</v>
      </c>
      <c r="M991" s="3" t="s">
        <v>4531</v>
      </c>
      <c r="N991" s="3">
        <v>920.02</v>
      </c>
      <c r="O991" s="3" t="s">
        <v>4285</v>
      </c>
      <c r="P991" s="3" t="s">
        <v>25</v>
      </c>
      <c r="Q991" s="3" t="s">
        <v>5606</v>
      </c>
    </row>
    <row r="992" spans="1:17">
      <c r="A992" s="3">
        <v>6457977</v>
      </c>
      <c r="B992" s="3" t="s">
        <v>4532</v>
      </c>
      <c r="C992" s="3" t="str">
        <f>"9781642650990"</f>
        <v>9781642650990</v>
      </c>
      <c r="D992" s="3" t="str">
        <f>"9781642651003"</f>
        <v>9781642651003</v>
      </c>
      <c r="E992" s="3" t="s">
        <v>3341</v>
      </c>
      <c r="F992" s="3" t="s">
        <v>3341</v>
      </c>
      <c r="G992" s="4">
        <v>43709</v>
      </c>
      <c r="H992" s="3" t="s">
        <v>20</v>
      </c>
      <c r="I992" s="3">
        <v>3</v>
      </c>
      <c r="J992" s="3"/>
      <c r="K992" s="3" t="s">
        <v>4533</v>
      </c>
      <c r="L992" s="3" t="s">
        <v>1425</v>
      </c>
      <c r="M992" s="3" t="s">
        <v>4534</v>
      </c>
      <c r="N992" s="3">
        <v>352.24092273000002</v>
      </c>
      <c r="O992" s="3" t="s">
        <v>4535</v>
      </c>
      <c r="P992" s="3" t="s">
        <v>25</v>
      </c>
      <c r="Q992" s="3" t="s">
        <v>5607</v>
      </c>
    </row>
    <row r="993" spans="1:17">
      <c r="A993" s="3">
        <v>6457981</v>
      </c>
      <c r="B993" s="3" t="s">
        <v>4536</v>
      </c>
      <c r="C993" s="3" t="str">
        <f>"9781642651072"</f>
        <v>9781642651072</v>
      </c>
      <c r="D993" s="3" t="str">
        <f>"9781642651089"</f>
        <v>9781642651089</v>
      </c>
      <c r="E993" s="3" t="s">
        <v>3341</v>
      </c>
      <c r="F993" s="3" t="s">
        <v>3341</v>
      </c>
      <c r="G993" s="4">
        <v>43800</v>
      </c>
      <c r="H993" s="3" t="s">
        <v>20</v>
      </c>
      <c r="I993" s="3">
        <v>4</v>
      </c>
      <c r="J993" s="3"/>
      <c r="K993" s="3" t="s">
        <v>4537</v>
      </c>
      <c r="L993" s="3" t="s">
        <v>118</v>
      </c>
      <c r="M993" s="3" t="s">
        <v>4538</v>
      </c>
      <c r="N993" s="3">
        <v>261.70972999999998</v>
      </c>
      <c r="O993" s="3" t="s">
        <v>4539</v>
      </c>
      <c r="P993" s="3" t="s">
        <v>25</v>
      </c>
      <c r="Q993" s="3" t="s">
        <v>5608</v>
      </c>
    </row>
    <row r="994" spans="1:17">
      <c r="A994" s="3">
        <v>6457985</v>
      </c>
      <c r="B994" s="3" t="s">
        <v>4540</v>
      </c>
      <c r="C994" s="3" t="str">
        <f>"9781642650976"</f>
        <v>9781642650976</v>
      </c>
      <c r="D994" s="3" t="str">
        <f>"9781642650983"</f>
        <v>9781642650983</v>
      </c>
      <c r="E994" s="3" t="s">
        <v>3341</v>
      </c>
      <c r="F994" s="3" t="s">
        <v>3341</v>
      </c>
      <c r="G994" s="4">
        <v>43678</v>
      </c>
      <c r="H994" s="3" t="s">
        <v>20</v>
      </c>
      <c r="I994" s="3">
        <v>4</v>
      </c>
      <c r="J994" s="3"/>
      <c r="K994" s="3" t="s">
        <v>4541</v>
      </c>
      <c r="L994" s="3" t="s">
        <v>1579</v>
      </c>
      <c r="M994" s="3" t="s">
        <v>4542</v>
      </c>
      <c r="N994" s="3">
        <v>320.08199999999999</v>
      </c>
      <c r="O994" s="3" t="s">
        <v>4543</v>
      </c>
      <c r="P994" s="3" t="s">
        <v>25</v>
      </c>
      <c r="Q994" s="3" t="s">
        <v>5609</v>
      </c>
    </row>
    <row r="995" spans="1:17">
      <c r="A995" s="3">
        <v>6457989</v>
      </c>
      <c r="B995" s="3" t="s">
        <v>4544</v>
      </c>
      <c r="C995" s="3" t="str">
        <f>"9781642650662"</f>
        <v>9781642650662</v>
      </c>
      <c r="D995" s="3" t="str">
        <f>"9781642650679"</f>
        <v>9781642650679</v>
      </c>
      <c r="E995" s="3" t="s">
        <v>3341</v>
      </c>
      <c r="F995" s="3" t="s">
        <v>3341</v>
      </c>
      <c r="G995" s="4">
        <v>43678</v>
      </c>
      <c r="H995" s="3" t="s">
        <v>20</v>
      </c>
      <c r="I995" s="3">
        <v>1</v>
      </c>
      <c r="J995" s="3" t="s">
        <v>4545</v>
      </c>
      <c r="K995" s="3" t="s">
        <v>4546</v>
      </c>
      <c r="L995" s="3" t="s">
        <v>64</v>
      </c>
      <c r="M995" s="3" t="s">
        <v>4547</v>
      </c>
      <c r="N995" s="3">
        <v>364.66097300000001</v>
      </c>
      <c r="O995" s="3" t="s">
        <v>4548</v>
      </c>
      <c r="P995" s="3" t="s">
        <v>25</v>
      </c>
      <c r="Q995" s="3" t="s">
        <v>5610</v>
      </c>
    </row>
    <row r="996" spans="1:17">
      <c r="A996" s="3">
        <v>6471514</v>
      </c>
      <c r="B996" s="3" t="s">
        <v>4549</v>
      </c>
      <c r="C996" s="3" t="str">
        <f>"9781486306282"</f>
        <v>9781486306282</v>
      </c>
      <c r="D996" s="3" t="str">
        <f>"9781486306299"</f>
        <v>9781486306299</v>
      </c>
      <c r="E996" s="3" t="s">
        <v>4550</v>
      </c>
      <c r="F996" s="3" t="s">
        <v>4550</v>
      </c>
      <c r="G996" s="4">
        <v>44216</v>
      </c>
      <c r="H996" s="3" t="s">
        <v>20</v>
      </c>
      <c r="I996" s="3">
        <v>3</v>
      </c>
      <c r="J996" s="3"/>
      <c r="K996" s="3" t="s">
        <v>4551</v>
      </c>
      <c r="L996" s="3" t="s">
        <v>49</v>
      </c>
      <c r="M996" s="3"/>
      <c r="N996" s="3">
        <v>599.09929999999997</v>
      </c>
      <c r="O996" s="3"/>
      <c r="P996" s="3" t="s">
        <v>25</v>
      </c>
      <c r="Q996" s="3" t="s">
        <v>5611</v>
      </c>
    </row>
    <row r="997" spans="1:17">
      <c r="A997" s="3">
        <v>6476814</v>
      </c>
      <c r="B997" s="3" t="s">
        <v>4552</v>
      </c>
      <c r="C997" s="3" t="str">
        <f>"9789004400412"</f>
        <v>9789004400412</v>
      </c>
      <c r="D997" s="3" t="str">
        <f>"9789004400429"</f>
        <v>9789004400429</v>
      </c>
      <c r="E997" s="3" t="s">
        <v>611</v>
      </c>
      <c r="F997" s="3" t="s">
        <v>611</v>
      </c>
      <c r="G997" s="4">
        <v>43699</v>
      </c>
      <c r="H997" s="3" t="s">
        <v>20</v>
      </c>
      <c r="I997" s="3">
        <v>1</v>
      </c>
      <c r="J997" s="3" t="s">
        <v>4553</v>
      </c>
      <c r="K997" s="3" t="s">
        <v>4554</v>
      </c>
      <c r="L997" s="3" t="s">
        <v>616</v>
      </c>
      <c r="M997" s="3"/>
      <c r="N997" s="3"/>
      <c r="O997" s="3"/>
      <c r="P997" s="3" t="s">
        <v>25</v>
      </c>
      <c r="Q997" s="3" t="s">
        <v>5612</v>
      </c>
    </row>
    <row r="998" spans="1:17">
      <c r="A998" s="3">
        <v>6528153</v>
      </c>
      <c r="B998" s="3" t="s">
        <v>4555</v>
      </c>
      <c r="C998" s="3" t="str">
        <f>"9781642652253"</f>
        <v>9781642652253</v>
      </c>
      <c r="D998" s="3" t="str">
        <f>"9781642652260"</f>
        <v>9781642652260</v>
      </c>
      <c r="E998" s="3" t="s">
        <v>4556</v>
      </c>
      <c r="F998" s="3" t="s">
        <v>4556</v>
      </c>
      <c r="G998" s="4">
        <v>43800</v>
      </c>
      <c r="H998" s="3" t="s">
        <v>20</v>
      </c>
      <c r="I998" s="3">
        <v>173</v>
      </c>
      <c r="J998" s="3"/>
      <c r="K998" s="3" t="s">
        <v>4383</v>
      </c>
      <c r="L998" s="3" t="s">
        <v>616</v>
      </c>
      <c r="M998" s="3"/>
      <c r="N998" s="3"/>
      <c r="O998" s="3"/>
      <c r="P998" s="3" t="s">
        <v>25</v>
      </c>
      <c r="Q998" s="3" t="s">
        <v>5613</v>
      </c>
    </row>
    <row r="999" spans="1:17">
      <c r="A999" s="3">
        <v>6552362</v>
      </c>
      <c r="B999" s="3" t="s">
        <v>4557</v>
      </c>
      <c r="C999" s="3" t="str">
        <f>"9781637000359"</f>
        <v>9781637000359</v>
      </c>
      <c r="D999" s="3" t="str">
        <f>"9781637000397"</f>
        <v>9781637000397</v>
      </c>
      <c r="E999" s="3" t="s">
        <v>3341</v>
      </c>
      <c r="F999" s="3" t="s">
        <v>3341</v>
      </c>
      <c r="G999" s="4">
        <v>44591</v>
      </c>
      <c r="H999" s="3" t="s">
        <v>20</v>
      </c>
      <c r="I999" s="3">
        <v>1</v>
      </c>
      <c r="J999" s="3" t="s">
        <v>4558</v>
      </c>
      <c r="K999" s="3" t="s">
        <v>4559</v>
      </c>
      <c r="L999" s="3" t="s">
        <v>4560</v>
      </c>
      <c r="M999" s="3"/>
      <c r="N999" s="3"/>
      <c r="O999" s="3"/>
      <c r="P999" s="3" t="s">
        <v>25</v>
      </c>
      <c r="Q999" s="3" t="s">
        <v>5614</v>
      </c>
    </row>
    <row r="1000" spans="1:17">
      <c r="A1000" s="3">
        <v>6552365</v>
      </c>
      <c r="B1000" s="3" t="s">
        <v>4561</v>
      </c>
      <c r="C1000" s="3" t="str">
        <f>"9781642658521"</f>
        <v>9781642658521</v>
      </c>
      <c r="D1000" s="3" t="str">
        <f>"9781637000380"</f>
        <v>9781637000380</v>
      </c>
      <c r="E1000" s="3" t="s">
        <v>3341</v>
      </c>
      <c r="F1000" s="3" t="s">
        <v>3341</v>
      </c>
      <c r="G1000" s="4">
        <v>44136</v>
      </c>
      <c r="H1000" s="3" t="s">
        <v>20</v>
      </c>
      <c r="I1000" s="3">
        <v>1</v>
      </c>
      <c r="J1000" s="3" t="s">
        <v>4558</v>
      </c>
      <c r="K1000" s="3" t="s">
        <v>4559</v>
      </c>
      <c r="L1000" s="3" t="s">
        <v>204</v>
      </c>
      <c r="M1000" s="3" t="s">
        <v>4562</v>
      </c>
      <c r="N1000" s="3">
        <v>616.1</v>
      </c>
      <c r="O1000" s="3" t="s">
        <v>4563</v>
      </c>
      <c r="P1000" s="3" t="s">
        <v>25</v>
      </c>
      <c r="Q1000" s="3" t="s">
        <v>5615</v>
      </c>
    </row>
    <row r="1001" spans="1:17">
      <c r="A1001" s="3">
        <v>6561639</v>
      </c>
      <c r="B1001" s="3" t="s">
        <v>4564</v>
      </c>
      <c r="C1001" s="3" t="str">
        <f>"9781975151256"</f>
        <v>9781975151256</v>
      </c>
      <c r="D1001" s="3" t="str">
        <f>"9781975151270"</f>
        <v>9781975151270</v>
      </c>
      <c r="E1001" s="3" t="s">
        <v>4565</v>
      </c>
      <c r="F1001" s="3" t="s">
        <v>4565</v>
      </c>
      <c r="G1001" s="4">
        <v>43888</v>
      </c>
      <c r="H1001" s="3" t="s">
        <v>20</v>
      </c>
      <c r="I1001" s="3">
        <v>2</v>
      </c>
      <c r="J1001" s="3"/>
      <c r="K1001" s="3" t="s">
        <v>4566</v>
      </c>
      <c r="L1001" s="3" t="s">
        <v>204</v>
      </c>
      <c r="M1001" s="3" t="s">
        <v>4567</v>
      </c>
      <c r="N1001" s="3">
        <v>617.47</v>
      </c>
      <c r="O1001" s="3" t="s">
        <v>4568</v>
      </c>
      <c r="P1001" s="3" t="s">
        <v>25</v>
      </c>
      <c r="Q1001" s="3" t="s">
        <v>5616</v>
      </c>
    </row>
    <row r="1002" spans="1:17">
      <c r="A1002" s="3">
        <v>6647706</v>
      </c>
      <c r="B1002" s="3" t="s">
        <v>4569</v>
      </c>
      <c r="C1002" s="3" t="str">
        <f>"9781635503173"</f>
        <v>9781635503173</v>
      </c>
      <c r="D1002" s="3" t="str">
        <f>"9781635503180"</f>
        <v>9781635503180</v>
      </c>
      <c r="E1002" s="3" t="s">
        <v>2914</v>
      </c>
      <c r="F1002" s="3" t="s">
        <v>2914</v>
      </c>
      <c r="G1002" s="4">
        <v>44348</v>
      </c>
      <c r="H1002" s="3" t="s">
        <v>20</v>
      </c>
      <c r="I1002" s="3">
        <v>7</v>
      </c>
      <c r="J1002" s="3"/>
      <c r="K1002" s="3" t="s">
        <v>4570</v>
      </c>
      <c r="L1002" s="3" t="s">
        <v>204</v>
      </c>
      <c r="M1002" s="3" t="s">
        <v>4571</v>
      </c>
      <c r="N1002" s="3" t="s">
        <v>4572</v>
      </c>
      <c r="O1002" s="3" t="s">
        <v>4573</v>
      </c>
      <c r="P1002" s="3" t="s">
        <v>25</v>
      </c>
      <c r="Q1002" s="3" t="s">
        <v>5617</v>
      </c>
    </row>
    <row r="1003" spans="1:17">
      <c r="A1003" s="3">
        <v>6676915</v>
      </c>
      <c r="B1003" s="3" t="s">
        <v>4574</v>
      </c>
      <c r="C1003" s="3" t="str">
        <f>"9781975141066"</f>
        <v>9781975141066</v>
      </c>
      <c r="D1003" s="3" t="str">
        <f>"9781975141080"</f>
        <v>9781975141080</v>
      </c>
      <c r="E1003" s="3" t="s">
        <v>4565</v>
      </c>
      <c r="F1003" s="3" t="s">
        <v>4565</v>
      </c>
      <c r="G1003" s="4">
        <v>43967</v>
      </c>
      <c r="H1003" s="3" t="s">
        <v>20</v>
      </c>
      <c r="I1003" s="3">
        <v>3</v>
      </c>
      <c r="J1003" s="3"/>
      <c r="K1003" s="3" t="s">
        <v>4575</v>
      </c>
      <c r="L1003" s="3" t="s">
        <v>204</v>
      </c>
      <c r="M1003" s="3" t="s">
        <v>4576</v>
      </c>
      <c r="N1003" s="3">
        <v>616.99464999999998</v>
      </c>
      <c r="O1003" s="3" t="s">
        <v>4577</v>
      </c>
      <c r="P1003" s="3" t="s">
        <v>25</v>
      </c>
      <c r="Q1003" s="3" t="s">
        <v>5618</v>
      </c>
    </row>
    <row r="1004" spans="1:17">
      <c r="A1004" s="3">
        <v>6690683</v>
      </c>
      <c r="B1004" s="3" t="s">
        <v>4578</v>
      </c>
      <c r="C1004" s="3" t="str">
        <f>"9781644251447"</f>
        <v>9781644251447</v>
      </c>
      <c r="D1004" s="3" t="str">
        <f>"9781644251461"</f>
        <v>9781644251461</v>
      </c>
      <c r="E1004" s="3" t="s">
        <v>4497</v>
      </c>
      <c r="F1004" s="3" t="s">
        <v>4497</v>
      </c>
      <c r="G1004" s="4">
        <v>44423</v>
      </c>
      <c r="H1004" s="3" t="s">
        <v>20</v>
      </c>
      <c r="I1004" s="3">
        <v>14</v>
      </c>
      <c r="J1004" s="3"/>
      <c r="K1004" s="3" t="s">
        <v>4498</v>
      </c>
      <c r="L1004" s="3" t="s">
        <v>4499</v>
      </c>
      <c r="M1004" s="3"/>
      <c r="N1004" s="3"/>
      <c r="O1004" s="3"/>
      <c r="P1004" s="3" t="s">
        <v>25</v>
      </c>
      <c r="Q1004" s="3" t="s">
        <v>5619</v>
      </c>
    </row>
    <row r="1005" spans="1:17">
      <c r="A1005" s="3">
        <v>6720711</v>
      </c>
      <c r="B1005" s="3" t="s">
        <v>4579</v>
      </c>
      <c r="C1005" s="3" t="str">
        <f>"9781914171444"</f>
        <v>9781914171444</v>
      </c>
      <c r="D1005" s="3" t="str">
        <f>"9781914171451"</f>
        <v>9781914171451</v>
      </c>
      <c r="E1005" s="3" t="s">
        <v>4580</v>
      </c>
      <c r="F1005" s="3" t="s">
        <v>4580</v>
      </c>
      <c r="G1005" s="4">
        <v>44452</v>
      </c>
      <c r="H1005" s="3" t="s">
        <v>20</v>
      </c>
      <c r="I1005" s="3">
        <v>2</v>
      </c>
      <c r="J1005" s="3" t="s">
        <v>2276</v>
      </c>
      <c r="K1005" s="3" t="s">
        <v>4581</v>
      </c>
      <c r="L1005" s="3" t="s">
        <v>199</v>
      </c>
      <c r="M1005" s="3" t="s">
        <v>4582</v>
      </c>
      <c r="N1005" s="3">
        <v>616.89179999999999</v>
      </c>
      <c r="O1005" s="3" t="s">
        <v>4583</v>
      </c>
      <c r="P1005" s="3" t="s">
        <v>25</v>
      </c>
      <c r="Q1005" s="3" t="s">
        <v>5620</v>
      </c>
    </row>
    <row r="1006" spans="1:17">
      <c r="A1006" s="3">
        <v>6795419</v>
      </c>
      <c r="B1006" s="3" t="s">
        <v>4584</v>
      </c>
      <c r="C1006" s="3" t="str">
        <f>"9781644250686"</f>
        <v>9781644250686</v>
      </c>
      <c r="D1006" s="3" t="str">
        <f>"9781644250693"</f>
        <v>9781644250693</v>
      </c>
      <c r="E1006" s="3" t="s">
        <v>4497</v>
      </c>
      <c r="F1006" s="3" t="s">
        <v>4497</v>
      </c>
      <c r="G1006" s="4">
        <v>44515</v>
      </c>
      <c r="H1006" s="3" t="s">
        <v>20</v>
      </c>
      <c r="I1006" s="3">
        <v>1</v>
      </c>
      <c r="J1006" s="3"/>
      <c r="K1006" s="3" t="s">
        <v>4498</v>
      </c>
      <c r="L1006" s="3" t="s">
        <v>4499</v>
      </c>
      <c r="M1006" s="3"/>
      <c r="N1006" s="3"/>
      <c r="O1006" s="3"/>
      <c r="P1006" s="3" t="s">
        <v>25</v>
      </c>
      <c r="Q1006" s="3" t="s">
        <v>5621</v>
      </c>
    </row>
    <row r="1007" spans="1:17">
      <c r="A1007" s="3">
        <v>6825092</v>
      </c>
      <c r="B1007" s="3" t="s">
        <v>4585</v>
      </c>
      <c r="C1007" s="3" t="str">
        <f>"9780786469116"</f>
        <v>9780786469116</v>
      </c>
      <c r="D1007" s="3" t="str">
        <f>"9780786491797"</f>
        <v>9780786491797</v>
      </c>
      <c r="E1007" s="3" t="s">
        <v>828</v>
      </c>
      <c r="F1007" s="3" t="s">
        <v>828</v>
      </c>
      <c r="G1007" s="4">
        <v>40976</v>
      </c>
      <c r="H1007" s="3" t="s">
        <v>20</v>
      </c>
      <c r="I1007" s="3">
        <v>1</v>
      </c>
      <c r="J1007" s="3"/>
      <c r="K1007" s="3" t="s">
        <v>4586</v>
      </c>
      <c r="L1007" s="3" t="s">
        <v>118</v>
      </c>
      <c r="M1007" s="3"/>
      <c r="N1007" s="3">
        <v>202.1103</v>
      </c>
      <c r="O1007" s="3"/>
      <c r="P1007" s="3" t="s">
        <v>25</v>
      </c>
      <c r="Q1007" s="3" t="s">
        <v>5622</v>
      </c>
    </row>
    <row r="1008" spans="1:17">
      <c r="A1008" s="3">
        <v>6829394</v>
      </c>
      <c r="B1008" s="3" t="s">
        <v>4587</v>
      </c>
      <c r="C1008" s="3" t="str">
        <f>"9781760464608"</f>
        <v>9781760464608</v>
      </c>
      <c r="D1008" s="3" t="str">
        <f>"9781760464615"</f>
        <v>9781760464615</v>
      </c>
      <c r="E1008" s="3" t="s">
        <v>3637</v>
      </c>
      <c r="F1008" s="3" t="s">
        <v>3637</v>
      </c>
      <c r="G1008" s="4">
        <v>44469</v>
      </c>
      <c r="H1008" s="3" t="s">
        <v>20</v>
      </c>
      <c r="I1008" s="3">
        <v>1</v>
      </c>
      <c r="J1008" s="3" t="s">
        <v>4588</v>
      </c>
      <c r="K1008" s="3" t="s">
        <v>4589</v>
      </c>
      <c r="L1008" s="3" t="s">
        <v>504</v>
      </c>
      <c r="M1008" s="3" t="s">
        <v>4590</v>
      </c>
      <c r="N1008" s="3">
        <v>499.5</v>
      </c>
      <c r="O1008" s="3" t="s">
        <v>4591</v>
      </c>
      <c r="P1008" s="3" t="s">
        <v>25</v>
      </c>
      <c r="Q1008" s="3" t="s">
        <v>5623</v>
      </c>
    </row>
    <row r="1009" spans="1:17">
      <c r="A1009" s="3">
        <v>6829395</v>
      </c>
      <c r="B1009" s="3" t="s">
        <v>4592</v>
      </c>
      <c r="C1009" s="3" t="str">
        <f>"9781760464561"</f>
        <v>9781760464561</v>
      </c>
      <c r="D1009" s="3" t="str">
        <f>"9781760464578"</f>
        <v>9781760464578</v>
      </c>
      <c r="E1009" s="3" t="s">
        <v>3637</v>
      </c>
      <c r="F1009" s="3" t="s">
        <v>3637</v>
      </c>
      <c r="G1009" s="4">
        <v>44525</v>
      </c>
      <c r="H1009" s="3" t="s">
        <v>20</v>
      </c>
      <c r="I1009" s="3">
        <v>1</v>
      </c>
      <c r="J1009" s="3" t="s">
        <v>4588</v>
      </c>
      <c r="K1009" s="3" t="s">
        <v>4593</v>
      </c>
      <c r="L1009" s="3" t="s">
        <v>504</v>
      </c>
      <c r="M1009" s="3" t="s">
        <v>4594</v>
      </c>
      <c r="N1009" s="3">
        <v>499.5</v>
      </c>
      <c r="O1009" s="3" t="s">
        <v>4595</v>
      </c>
      <c r="P1009" s="3" t="s">
        <v>25</v>
      </c>
      <c r="Q1009" s="3" t="s">
        <v>5624</v>
      </c>
    </row>
    <row r="1010" spans="1:17">
      <c r="A1010" s="3">
        <v>6829406</v>
      </c>
      <c r="B1010" s="3" t="s">
        <v>4596</v>
      </c>
      <c r="C1010" s="3" t="str">
        <f>"9781760464783"</f>
        <v>9781760464783</v>
      </c>
      <c r="D1010" s="3" t="str">
        <f>"9781760464790"</f>
        <v>9781760464790</v>
      </c>
      <c r="E1010" s="3" t="s">
        <v>3637</v>
      </c>
      <c r="F1010" s="3" t="s">
        <v>3637</v>
      </c>
      <c r="G1010" s="4">
        <v>44539</v>
      </c>
      <c r="H1010" s="3" t="s">
        <v>20</v>
      </c>
      <c r="I1010" s="3">
        <v>1</v>
      </c>
      <c r="J1010" s="3" t="s">
        <v>4588</v>
      </c>
      <c r="K1010" s="3" t="s">
        <v>4597</v>
      </c>
      <c r="L1010" s="3" t="s">
        <v>504</v>
      </c>
      <c r="M1010" s="3" t="s">
        <v>4598</v>
      </c>
      <c r="N1010" s="3">
        <v>499.5</v>
      </c>
      <c r="O1010" s="3" t="s">
        <v>4599</v>
      </c>
      <c r="P1010" s="3" t="s">
        <v>25</v>
      </c>
      <c r="Q1010" s="3" t="s">
        <v>5625</v>
      </c>
    </row>
    <row r="1011" spans="1:17">
      <c r="A1011" s="3">
        <v>6845783</v>
      </c>
      <c r="B1011" s="3" t="s">
        <v>4600</v>
      </c>
      <c r="C1011" s="3" t="str">
        <f>"9781789698572"</f>
        <v>9781789698572</v>
      </c>
      <c r="D1011" s="3" t="str">
        <f>"9781789698589"</f>
        <v>9781789698589</v>
      </c>
      <c r="E1011" s="3" t="s">
        <v>4436</v>
      </c>
      <c r="F1011" s="3" t="s">
        <v>4601</v>
      </c>
      <c r="G1011" s="4">
        <v>44560</v>
      </c>
      <c r="H1011" s="3" t="s">
        <v>20</v>
      </c>
      <c r="I1011" s="3">
        <v>1</v>
      </c>
      <c r="J1011" s="3"/>
      <c r="K1011" s="3" t="s">
        <v>4602</v>
      </c>
      <c r="L1011" s="3" t="s">
        <v>58</v>
      </c>
      <c r="M1011" s="3"/>
      <c r="N1011" s="3">
        <v>930.10299999999995</v>
      </c>
      <c r="O1011" s="3"/>
      <c r="P1011" s="3" t="s">
        <v>25</v>
      </c>
      <c r="Q1011" s="3" t="s">
        <v>5626</v>
      </c>
    </row>
    <row r="1012" spans="1:17">
      <c r="A1012" s="3">
        <v>6882225</v>
      </c>
      <c r="B1012" s="3" t="s">
        <v>4603</v>
      </c>
      <c r="C1012" s="3" t="str">
        <f>"9781496347787"</f>
        <v>9781496347787</v>
      </c>
      <c r="D1012" s="3" t="str">
        <f>"9781496347763"</f>
        <v>9781496347763</v>
      </c>
      <c r="E1012" s="3" t="s">
        <v>4565</v>
      </c>
      <c r="F1012" s="3" t="s">
        <v>4565</v>
      </c>
      <c r="G1012" s="4">
        <v>44114</v>
      </c>
      <c r="H1012" s="3" t="s">
        <v>20</v>
      </c>
      <c r="I1012" s="3">
        <v>4</v>
      </c>
      <c r="J1012" s="3"/>
      <c r="K1012" s="3" t="s">
        <v>4604</v>
      </c>
      <c r="L1012" s="3" t="s">
        <v>204</v>
      </c>
      <c r="M1012" s="3" t="s">
        <v>4605</v>
      </c>
      <c r="N1012" s="3">
        <v>616.04719999999998</v>
      </c>
      <c r="O1012" s="3" t="s">
        <v>4606</v>
      </c>
      <c r="P1012" s="3" t="s">
        <v>25</v>
      </c>
      <c r="Q1012" s="3" t="s">
        <v>5627</v>
      </c>
    </row>
    <row r="1013" spans="1:17">
      <c r="A1013" s="3">
        <v>6886447</v>
      </c>
      <c r="B1013" s="3" t="s">
        <v>4607</v>
      </c>
      <c r="C1013" s="3" t="str">
        <f>"9781637000632"</f>
        <v>9781637000632</v>
      </c>
      <c r="D1013" s="3" t="str">
        <f>"9781637000649"</f>
        <v>9781637000649</v>
      </c>
      <c r="E1013" s="3" t="s">
        <v>3341</v>
      </c>
      <c r="F1013" s="3" t="s">
        <v>3341</v>
      </c>
      <c r="G1013" s="4">
        <v>44536</v>
      </c>
      <c r="H1013" s="3" t="s">
        <v>20</v>
      </c>
      <c r="I1013" s="3">
        <v>1</v>
      </c>
      <c r="J1013" s="3" t="s">
        <v>4558</v>
      </c>
      <c r="K1013" s="3" t="s">
        <v>4559</v>
      </c>
      <c r="L1013" s="3" t="s">
        <v>1326</v>
      </c>
      <c r="M1013" s="3" t="s">
        <v>4608</v>
      </c>
      <c r="N1013" s="3">
        <v>613.20000000000005</v>
      </c>
      <c r="O1013" s="3" t="s">
        <v>4609</v>
      </c>
      <c r="P1013" s="3" t="s">
        <v>25</v>
      </c>
      <c r="Q1013" s="3" t="s">
        <v>5628</v>
      </c>
    </row>
    <row r="1014" spans="1:17">
      <c r="A1014" s="3">
        <v>6944050</v>
      </c>
      <c r="B1014" s="3" t="s">
        <v>4610</v>
      </c>
      <c r="C1014" s="3" t="str">
        <f>"9780764165801"</f>
        <v>9780764165801</v>
      </c>
      <c r="D1014" s="3" t="str">
        <f>"9781438092072"</f>
        <v>9781438092072</v>
      </c>
      <c r="E1014" s="3" t="s">
        <v>4611</v>
      </c>
      <c r="F1014" s="3" t="s">
        <v>4611</v>
      </c>
      <c r="G1014" s="4">
        <v>41365</v>
      </c>
      <c r="H1014" s="3" t="s">
        <v>20</v>
      </c>
      <c r="I1014" s="3">
        <v>2</v>
      </c>
      <c r="J1014" s="3"/>
      <c r="K1014" s="3" t="s">
        <v>4612</v>
      </c>
      <c r="L1014" s="3" t="s">
        <v>4267</v>
      </c>
      <c r="M1014" s="3" t="s">
        <v>4613</v>
      </c>
      <c r="N1014" s="3">
        <v>636.80029999999999</v>
      </c>
      <c r="O1014" s="3" t="s">
        <v>4614</v>
      </c>
      <c r="P1014" s="3" t="s">
        <v>25</v>
      </c>
      <c r="Q1014" s="3" t="s">
        <v>5629</v>
      </c>
    </row>
    <row r="1015" spans="1:17">
      <c r="A1015" s="3">
        <v>6984922</v>
      </c>
      <c r="B1015" s="3" t="s">
        <v>4615</v>
      </c>
      <c r="C1015" s="3" t="str">
        <f>"9789004340961"</f>
        <v>9789004340961</v>
      </c>
      <c r="D1015" s="3" t="str">
        <f>"9789004472846"</f>
        <v>9789004472846</v>
      </c>
      <c r="E1015" s="3" t="s">
        <v>611</v>
      </c>
      <c r="F1015" s="3" t="s">
        <v>611</v>
      </c>
      <c r="G1015" s="4">
        <v>42845</v>
      </c>
      <c r="H1015" s="3" t="s">
        <v>20</v>
      </c>
      <c r="I1015" s="3">
        <v>1</v>
      </c>
      <c r="J1015" s="3" t="s">
        <v>612</v>
      </c>
      <c r="K1015" s="3" t="s">
        <v>4616</v>
      </c>
      <c r="L1015" s="3" t="s">
        <v>616</v>
      </c>
      <c r="M1015" s="3"/>
      <c r="N1015" s="3"/>
      <c r="O1015" s="3"/>
      <c r="P1015" s="3" t="s">
        <v>25</v>
      </c>
      <c r="Q1015" s="3" t="s">
        <v>5630</v>
      </c>
    </row>
  </sheetData>
  <autoFilter ref="A1:Q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20230103_1,014권_keris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Lim</dc:creator>
  <cp:lastModifiedBy>Yumi Lim</cp:lastModifiedBy>
  <dcterms:created xsi:type="dcterms:W3CDTF">2023-01-03T01:43:50Z</dcterms:created>
  <dcterms:modified xsi:type="dcterms:W3CDTF">2023-01-09T04:53:33Z</dcterms:modified>
</cp:coreProperties>
</file>